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S:\Allgemeines\Schullandheim\"/>
    </mc:Choice>
  </mc:AlternateContent>
  <xr:revisionPtr revIDLastSave="0" documentId="8_{94A2D177-0965-47AC-A55B-7C6AAD91D7C2}" xr6:coauthVersionLast="36" xr6:coauthVersionMax="36" xr10:uidLastSave="{00000000-0000-0000-0000-000000000000}"/>
  <bookViews>
    <workbookView xWindow="0" yWindow="0" windowWidth="28800" windowHeight="12225" tabRatio="875" xr2:uid="{00000000-000D-0000-FFFF-FFFF00000000}"/>
  </bookViews>
  <sheets>
    <sheet name="Berechnungsmaske" sheetId="5" r:id="rId1"/>
    <sheet name="Erläuterungen" sheetId="6" r:id="rId2"/>
    <sheet name="Kontakt" sheetId="7" r:id="rId3"/>
  </sheets>
  <definedNames>
    <definedName name="_xlnm._FilterDatabase" localSheetId="0" hidden="1">Berechnungsmaske!$C$21:$I$245</definedName>
    <definedName name="_xlnm.Print_Area" localSheetId="0">Berechnungsmaske!$C$2:$N$366</definedName>
    <definedName name="Kontrollkästchen2" localSheetId="0">Berechnungsmaske!#REF!</definedName>
    <definedName name="_xlnm.Criteria" localSheetId="0">Berechnungsmaske!$C$21</definedName>
  </definedNames>
  <calcPr calcId="191029"/>
</workbook>
</file>

<file path=xl/calcChain.xml><?xml version="1.0" encoding="utf-8"?>
<calcChain xmlns="http://schemas.openxmlformats.org/spreadsheetml/2006/main">
  <c r="N360" i="5" l="1"/>
  <c r="N364" i="5"/>
  <c r="N358" i="5"/>
  <c r="K95" i="5" l="1"/>
  <c r="C95" i="5" s="1"/>
  <c r="I23" i="5"/>
  <c r="H31" i="5"/>
  <c r="R323" i="5" l="1"/>
  <c r="P285" i="5" s="1"/>
  <c r="S323" i="5"/>
  <c r="T323" i="5"/>
  <c r="R285" i="5" s="1"/>
  <c r="R324" i="5"/>
  <c r="P286" i="5" s="1"/>
  <c r="S324" i="5"/>
  <c r="Q286" i="5" s="1"/>
  <c r="T324" i="5"/>
  <c r="R325" i="5"/>
  <c r="P287" i="5" s="1"/>
  <c r="S325" i="5"/>
  <c r="T325" i="5"/>
  <c r="R252" i="5" s="1"/>
  <c r="R326" i="5"/>
  <c r="S326" i="5"/>
  <c r="Q288" i="5" s="1"/>
  <c r="T326" i="5"/>
  <c r="R288" i="5" s="1"/>
  <c r="R327" i="5"/>
  <c r="P289" i="5" s="1"/>
  <c r="S327" i="5"/>
  <c r="T327" i="5"/>
  <c r="R277" i="5" s="1"/>
  <c r="R328" i="5"/>
  <c r="S328" i="5"/>
  <c r="Q290" i="5" s="1"/>
  <c r="T328" i="5"/>
  <c r="R329" i="5"/>
  <c r="P291" i="5" s="1"/>
  <c r="S329" i="5"/>
  <c r="T329" i="5"/>
  <c r="R291" i="5" s="1"/>
  <c r="R330" i="5"/>
  <c r="S330" i="5"/>
  <c r="T330" i="5"/>
  <c r="R298" i="5" s="1"/>
  <c r="R331" i="5"/>
  <c r="P258" i="5" s="1"/>
  <c r="S331" i="5"/>
  <c r="T331" i="5"/>
  <c r="R293" i="5" s="1"/>
  <c r="O309" i="5"/>
  <c r="R309" i="5"/>
  <c r="R273" i="5" l="1"/>
  <c r="R296" i="5"/>
  <c r="R297" i="5"/>
  <c r="Q257" i="5"/>
  <c r="P250" i="5"/>
  <c r="P254" i="5"/>
  <c r="R287" i="5"/>
  <c r="R256" i="5"/>
  <c r="P293" i="5"/>
  <c r="Q292" i="5"/>
  <c r="R289" i="5"/>
  <c r="Q253" i="5"/>
  <c r="R292" i="5"/>
  <c r="R257" i="5"/>
  <c r="Q291" i="5"/>
  <c r="S291" i="5" s="1"/>
  <c r="T291" i="5" s="1"/>
  <c r="Q256" i="5"/>
  <c r="P290" i="5"/>
  <c r="P255" i="5"/>
  <c r="R280" i="5"/>
  <c r="Q293" i="5"/>
  <c r="Q258" i="5"/>
  <c r="P292" i="5"/>
  <c r="P257" i="5"/>
  <c r="R278" i="5"/>
  <c r="R290" i="5"/>
  <c r="R255" i="5"/>
  <c r="Q289" i="5"/>
  <c r="Q254" i="5"/>
  <c r="P288" i="5"/>
  <c r="S288" i="5" s="1"/>
  <c r="T288" i="5" s="1"/>
  <c r="P253" i="5"/>
  <c r="R274" i="5"/>
  <c r="R286" i="5"/>
  <c r="S286" i="5" s="1"/>
  <c r="T286" i="5" s="1"/>
  <c r="R251" i="5"/>
  <c r="Q285" i="5"/>
  <c r="S285" i="5" s="1"/>
  <c r="T285" i="5" s="1"/>
  <c r="Q250" i="5"/>
  <c r="R276" i="5"/>
  <c r="Q252" i="5"/>
  <c r="Q287" i="5"/>
  <c r="R279" i="5"/>
  <c r="R275" i="5"/>
  <c r="R258" i="5"/>
  <c r="P256" i="5"/>
  <c r="Q255" i="5"/>
  <c r="R254" i="5"/>
  <c r="P252" i="5"/>
  <c r="Q251" i="5"/>
  <c r="R250" i="5"/>
  <c r="R253" i="5"/>
  <c r="P251" i="5"/>
  <c r="C267" i="5"/>
  <c r="N348" i="5"/>
  <c r="D275" i="5"/>
  <c r="D263" i="5"/>
  <c r="D262" i="5"/>
  <c r="C263" i="5"/>
  <c r="C262" i="5"/>
  <c r="D273" i="5"/>
  <c r="I24" i="5"/>
  <c r="I25" i="5"/>
  <c r="I26" i="5"/>
  <c r="I27" i="5"/>
  <c r="I28" i="5"/>
  <c r="I29" i="5"/>
  <c r="I30" i="5"/>
  <c r="I31" i="5"/>
  <c r="I32" i="5"/>
  <c r="I33" i="5"/>
  <c r="I34" i="5"/>
  <c r="I36" i="5"/>
  <c r="I35" i="5"/>
  <c r="I37" i="5"/>
  <c r="I38" i="5"/>
  <c r="I39" i="5"/>
  <c r="I40" i="5"/>
  <c r="I41" i="5"/>
  <c r="I42" i="5"/>
  <c r="I43" i="5"/>
  <c r="I44" i="5"/>
  <c r="I45" i="5"/>
  <c r="I47" i="5"/>
  <c r="I46" i="5"/>
  <c r="I48" i="5"/>
  <c r="I49" i="5"/>
  <c r="I50" i="5"/>
  <c r="I51" i="5"/>
  <c r="I52" i="5"/>
  <c r="I53" i="5"/>
  <c r="I54" i="5"/>
  <c r="I55" i="5"/>
  <c r="I57" i="5"/>
  <c r="I56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5" i="5"/>
  <c r="I84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5" i="5"/>
  <c r="I106" i="5"/>
  <c r="I104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22" i="5"/>
  <c r="I182" i="5"/>
  <c r="I184" i="5"/>
  <c r="I183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8" i="5"/>
  <c r="I197" i="5"/>
  <c r="I199" i="5"/>
  <c r="I200" i="5"/>
  <c r="I201" i="5"/>
  <c r="I202" i="5"/>
  <c r="I203" i="5"/>
  <c r="I204" i="5"/>
  <c r="I205" i="5"/>
  <c r="I206" i="5"/>
  <c r="I208" i="5"/>
  <c r="I209" i="5"/>
  <c r="I210" i="5"/>
  <c r="I207" i="5"/>
  <c r="I211" i="5"/>
  <c r="I212" i="5"/>
  <c r="I213" i="5"/>
  <c r="I214" i="5"/>
  <c r="I215" i="5"/>
  <c r="I216" i="5"/>
  <c r="I217" i="5"/>
  <c r="I219" i="5"/>
  <c r="I218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3" i="5"/>
  <c r="I234" i="5"/>
  <c r="I232" i="5"/>
  <c r="I235" i="5"/>
  <c r="I236" i="5"/>
  <c r="I237" i="5"/>
  <c r="I238" i="5"/>
  <c r="I239" i="5"/>
  <c r="I240" i="5"/>
  <c r="I241" i="5"/>
  <c r="I242" i="5"/>
  <c r="I243" i="5"/>
  <c r="I244" i="5"/>
  <c r="I245" i="5"/>
  <c r="H23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22" i="5"/>
  <c r="H182" i="5"/>
  <c r="H184" i="5"/>
  <c r="H183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8" i="5"/>
  <c r="H197" i="5"/>
  <c r="H199" i="5"/>
  <c r="H200" i="5"/>
  <c r="H201" i="5"/>
  <c r="H202" i="5"/>
  <c r="H203" i="5"/>
  <c r="H204" i="5"/>
  <c r="H205" i="5"/>
  <c r="H206" i="5"/>
  <c r="H208" i="5"/>
  <c r="H209" i="5"/>
  <c r="H210" i="5"/>
  <c r="H207" i="5"/>
  <c r="H211" i="5"/>
  <c r="H212" i="5"/>
  <c r="H213" i="5"/>
  <c r="H214" i="5"/>
  <c r="H215" i="5"/>
  <c r="H216" i="5"/>
  <c r="H217" i="5"/>
  <c r="H219" i="5"/>
  <c r="H218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3" i="5"/>
  <c r="H234" i="5"/>
  <c r="H232" i="5"/>
  <c r="H235" i="5"/>
  <c r="H236" i="5"/>
  <c r="H237" i="5"/>
  <c r="H238" i="5"/>
  <c r="H239" i="5"/>
  <c r="H240" i="5"/>
  <c r="H241" i="5"/>
  <c r="H242" i="5"/>
  <c r="H243" i="5"/>
  <c r="H244" i="5"/>
  <c r="H245" i="5"/>
  <c r="H24" i="5"/>
  <c r="H25" i="5"/>
  <c r="H26" i="5"/>
  <c r="H27" i="5"/>
  <c r="H28" i="5"/>
  <c r="H29" i="5"/>
  <c r="H30" i="5"/>
  <c r="H32" i="5"/>
  <c r="H33" i="5"/>
  <c r="H34" i="5"/>
  <c r="H36" i="5"/>
  <c r="H35" i="5"/>
  <c r="H37" i="5"/>
  <c r="H38" i="5"/>
  <c r="H39" i="5"/>
  <c r="H40" i="5"/>
  <c r="H41" i="5"/>
  <c r="H42" i="5"/>
  <c r="H43" i="5"/>
  <c r="H44" i="5"/>
  <c r="H45" i="5"/>
  <c r="H47" i="5"/>
  <c r="H46" i="5"/>
  <c r="H48" i="5"/>
  <c r="H49" i="5"/>
  <c r="H50" i="5"/>
  <c r="H51" i="5"/>
  <c r="H52" i="5"/>
  <c r="H53" i="5"/>
  <c r="H54" i="5"/>
  <c r="H55" i="5"/>
  <c r="H57" i="5"/>
  <c r="H56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5" i="5"/>
  <c r="H84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5" i="5"/>
  <c r="H106" i="5"/>
  <c r="H104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K25" i="5"/>
  <c r="C25" i="5" s="1"/>
  <c r="K26" i="5"/>
  <c r="C26" i="5" s="1"/>
  <c r="K27" i="5"/>
  <c r="C27" i="5" s="1"/>
  <c r="K28" i="5"/>
  <c r="C28" i="5" s="1"/>
  <c r="K29" i="5"/>
  <c r="C29" i="5" s="1"/>
  <c r="K30" i="5"/>
  <c r="C30" i="5" s="1"/>
  <c r="K31" i="5"/>
  <c r="C31" i="5" s="1"/>
  <c r="K32" i="5"/>
  <c r="C32" i="5" s="1"/>
  <c r="K33" i="5"/>
  <c r="C33" i="5" s="1"/>
  <c r="K34" i="5"/>
  <c r="C34" i="5" s="1"/>
  <c r="K35" i="5"/>
  <c r="C35" i="5" s="1"/>
  <c r="K36" i="5"/>
  <c r="C36" i="5" s="1"/>
  <c r="K37" i="5"/>
  <c r="C37" i="5" s="1"/>
  <c r="K38" i="5"/>
  <c r="C38" i="5" s="1"/>
  <c r="K39" i="5"/>
  <c r="C39" i="5" s="1"/>
  <c r="K40" i="5"/>
  <c r="C40" i="5" s="1"/>
  <c r="K41" i="5"/>
  <c r="C41" i="5" s="1"/>
  <c r="K42" i="5"/>
  <c r="C42" i="5" s="1"/>
  <c r="K43" i="5"/>
  <c r="C43" i="5" s="1"/>
  <c r="K44" i="5"/>
  <c r="C44" i="5" s="1"/>
  <c r="K45" i="5"/>
  <c r="C45" i="5" s="1"/>
  <c r="K46" i="5"/>
  <c r="C46" i="5" s="1"/>
  <c r="K47" i="5"/>
  <c r="C47" i="5" s="1"/>
  <c r="K48" i="5"/>
  <c r="C48" i="5" s="1"/>
  <c r="K49" i="5"/>
  <c r="C49" i="5" s="1"/>
  <c r="K50" i="5"/>
  <c r="C50" i="5" s="1"/>
  <c r="K51" i="5"/>
  <c r="C51" i="5" s="1"/>
  <c r="K52" i="5"/>
  <c r="C52" i="5" s="1"/>
  <c r="K53" i="5"/>
  <c r="C53" i="5" s="1"/>
  <c r="K54" i="5"/>
  <c r="C54" i="5" s="1"/>
  <c r="K55" i="5"/>
  <c r="C55" i="5" s="1"/>
  <c r="K56" i="5"/>
  <c r="C56" i="5" s="1"/>
  <c r="K57" i="5"/>
  <c r="C57" i="5" s="1"/>
  <c r="K58" i="5"/>
  <c r="C58" i="5" s="1"/>
  <c r="K59" i="5"/>
  <c r="C59" i="5" s="1"/>
  <c r="K60" i="5"/>
  <c r="C60" i="5" s="1"/>
  <c r="K61" i="5"/>
  <c r="C61" i="5" s="1"/>
  <c r="K62" i="5"/>
  <c r="C62" i="5" s="1"/>
  <c r="K63" i="5"/>
  <c r="C63" i="5" s="1"/>
  <c r="K64" i="5"/>
  <c r="C64" i="5" s="1"/>
  <c r="K65" i="5"/>
  <c r="C65" i="5" s="1"/>
  <c r="K66" i="5"/>
  <c r="C66" i="5" s="1"/>
  <c r="K67" i="5"/>
  <c r="C67" i="5" s="1"/>
  <c r="K68" i="5"/>
  <c r="C68" i="5" s="1"/>
  <c r="K69" i="5"/>
  <c r="C69" i="5" s="1"/>
  <c r="K70" i="5"/>
  <c r="C70" i="5" s="1"/>
  <c r="K71" i="5"/>
  <c r="C71" i="5" s="1"/>
  <c r="K72" i="5"/>
  <c r="C72" i="5" s="1"/>
  <c r="K73" i="5"/>
  <c r="C73" i="5" s="1"/>
  <c r="K74" i="5"/>
  <c r="C74" i="5" s="1"/>
  <c r="K75" i="5"/>
  <c r="C75" i="5" s="1"/>
  <c r="K76" i="5"/>
  <c r="C76" i="5" s="1"/>
  <c r="K77" i="5"/>
  <c r="C77" i="5" s="1"/>
  <c r="K78" i="5"/>
  <c r="C78" i="5" s="1"/>
  <c r="K79" i="5"/>
  <c r="C79" i="5" s="1"/>
  <c r="K80" i="5"/>
  <c r="C80" i="5" s="1"/>
  <c r="K81" i="5"/>
  <c r="C81" i="5" s="1"/>
  <c r="K82" i="5"/>
  <c r="C82" i="5" s="1"/>
  <c r="K83" i="5"/>
  <c r="C83" i="5" s="1"/>
  <c r="K84" i="5"/>
  <c r="C84" i="5" s="1"/>
  <c r="K85" i="5"/>
  <c r="C85" i="5" s="1"/>
  <c r="K86" i="5"/>
  <c r="C86" i="5" s="1"/>
  <c r="K87" i="5"/>
  <c r="C87" i="5" s="1"/>
  <c r="K88" i="5"/>
  <c r="C88" i="5" s="1"/>
  <c r="K89" i="5"/>
  <c r="C89" i="5" s="1"/>
  <c r="K90" i="5"/>
  <c r="C90" i="5" s="1"/>
  <c r="K91" i="5"/>
  <c r="C91" i="5" s="1"/>
  <c r="K92" i="5"/>
  <c r="C92" i="5" s="1"/>
  <c r="K93" i="5"/>
  <c r="C93" i="5" s="1"/>
  <c r="K94" i="5"/>
  <c r="C94" i="5" s="1"/>
  <c r="K96" i="5"/>
  <c r="C96" i="5" s="1"/>
  <c r="K97" i="5"/>
  <c r="C97" i="5" s="1"/>
  <c r="K98" i="5"/>
  <c r="C98" i="5" s="1"/>
  <c r="K99" i="5"/>
  <c r="C99" i="5" s="1"/>
  <c r="K100" i="5"/>
  <c r="C100" i="5" s="1"/>
  <c r="K101" i="5"/>
  <c r="C101" i="5" s="1"/>
  <c r="K102" i="5"/>
  <c r="C102" i="5" s="1"/>
  <c r="K103" i="5"/>
  <c r="C103" i="5" s="1"/>
  <c r="K104" i="5"/>
  <c r="C104" i="5" s="1"/>
  <c r="K105" i="5"/>
  <c r="C105" i="5" s="1"/>
  <c r="K106" i="5"/>
  <c r="C106" i="5" s="1"/>
  <c r="K107" i="5"/>
  <c r="C107" i="5" s="1"/>
  <c r="K108" i="5"/>
  <c r="C108" i="5" s="1"/>
  <c r="K109" i="5"/>
  <c r="C109" i="5" s="1"/>
  <c r="K110" i="5"/>
  <c r="C110" i="5" s="1"/>
  <c r="K111" i="5"/>
  <c r="C111" i="5" s="1"/>
  <c r="K112" i="5"/>
  <c r="C112" i="5" s="1"/>
  <c r="K113" i="5"/>
  <c r="C113" i="5" s="1"/>
  <c r="K114" i="5"/>
  <c r="C114" i="5" s="1"/>
  <c r="K115" i="5"/>
  <c r="C115" i="5" s="1"/>
  <c r="K116" i="5"/>
  <c r="C116" i="5" s="1"/>
  <c r="K117" i="5"/>
  <c r="C117" i="5" s="1"/>
  <c r="K118" i="5"/>
  <c r="C118" i="5" s="1"/>
  <c r="K119" i="5"/>
  <c r="C119" i="5" s="1"/>
  <c r="K120" i="5"/>
  <c r="C120" i="5" s="1"/>
  <c r="K121" i="5"/>
  <c r="C121" i="5" s="1"/>
  <c r="K122" i="5"/>
  <c r="C122" i="5" s="1"/>
  <c r="K123" i="5"/>
  <c r="C123" i="5" s="1"/>
  <c r="K124" i="5"/>
  <c r="C124" i="5" s="1"/>
  <c r="K125" i="5"/>
  <c r="C125" i="5" s="1"/>
  <c r="K126" i="5"/>
  <c r="C126" i="5" s="1"/>
  <c r="K127" i="5"/>
  <c r="C127" i="5" s="1"/>
  <c r="K128" i="5"/>
  <c r="C128" i="5" s="1"/>
  <c r="K129" i="5"/>
  <c r="C129" i="5" s="1"/>
  <c r="K130" i="5"/>
  <c r="C130" i="5" s="1"/>
  <c r="K131" i="5"/>
  <c r="C131" i="5" s="1"/>
  <c r="K132" i="5"/>
  <c r="C132" i="5" s="1"/>
  <c r="K133" i="5"/>
  <c r="C133" i="5" s="1"/>
  <c r="K134" i="5"/>
  <c r="C134" i="5" s="1"/>
  <c r="K135" i="5"/>
  <c r="C135" i="5" s="1"/>
  <c r="K136" i="5"/>
  <c r="C136" i="5" s="1"/>
  <c r="K137" i="5"/>
  <c r="C137" i="5" s="1"/>
  <c r="K138" i="5"/>
  <c r="C138" i="5" s="1"/>
  <c r="K139" i="5"/>
  <c r="C139" i="5" s="1"/>
  <c r="K140" i="5"/>
  <c r="C140" i="5" s="1"/>
  <c r="K141" i="5"/>
  <c r="C141" i="5" s="1"/>
  <c r="K142" i="5"/>
  <c r="C142" i="5" s="1"/>
  <c r="K143" i="5"/>
  <c r="C143" i="5" s="1"/>
  <c r="K144" i="5"/>
  <c r="C144" i="5" s="1"/>
  <c r="K145" i="5"/>
  <c r="C145" i="5" s="1"/>
  <c r="K146" i="5"/>
  <c r="C146" i="5" s="1"/>
  <c r="K147" i="5"/>
  <c r="C147" i="5" s="1"/>
  <c r="K148" i="5"/>
  <c r="C148" i="5" s="1"/>
  <c r="K149" i="5"/>
  <c r="C149" i="5" s="1"/>
  <c r="K150" i="5"/>
  <c r="C150" i="5" s="1"/>
  <c r="K151" i="5"/>
  <c r="C151" i="5" s="1"/>
  <c r="K152" i="5"/>
  <c r="C152" i="5" s="1"/>
  <c r="K153" i="5"/>
  <c r="C153" i="5" s="1"/>
  <c r="K154" i="5"/>
  <c r="C154" i="5" s="1"/>
  <c r="K155" i="5"/>
  <c r="C155" i="5" s="1"/>
  <c r="K156" i="5"/>
  <c r="C156" i="5" s="1"/>
  <c r="K157" i="5"/>
  <c r="C157" i="5" s="1"/>
  <c r="K158" i="5"/>
  <c r="C158" i="5" s="1"/>
  <c r="K159" i="5"/>
  <c r="C159" i="5" s="1"/>
  <c r="K160" i="5"/>
  <c r="C160" i="5" s="1"/>
  <c r="K161" i="5"/>
  <c r="C161" i="5" s="1"/>
  <c r="K162" i="5"/>
  <c r="C162" i="5" s="1"/>
  <c r="K163" i="5"/>
  <c r="C163" i="5" s="1"/>
  <c r="K164" i="5"/>
  <c r="C164" i="5" s="1"/>
  <c r="K165" i="5"/>
  <c r="C165" i="5" s="1"/>
  <c r="K166" i="5"/>
  <c r="C166" i="5" s="1"/>
  <c r="K167" i="5"/>
  <c r="C167" i="5" s="1"/>
  <c r="K168" i="5"/>
  <c r="C168" i="5" s="1"/>
  <c r="K169" i="5"/>
  <c r="C169" i="5" s="1"/>
  <c r="K170" i="5"/>
  <c r="C170" i="5" s="1"/>
  <c r="K171" i="5"/>
  <c r="C171" i="5" s="1"/>
  <c r="K172" i="5"/>
  <c r="C172" i="5" s="1"/>
  <c r="K173" i="5"/>
  <c r="C173" i="5" s="1"/>
  <c r="K174" i="5"/>
  <c r="C174" i="5" s="1"/>
  <c r="K175" i="5"/>
  <c r="C175" i="5" s="1"/>
  <c r="K176" i="5"/>
  <c r="C176" i="5" s="1"/>
  <c r="K177" i="5"/>
  <c r="C177" i="5" s="1"/>
  <c r="K178" i="5"/>
  <c r="C178" i="5" s="1"/>
  <c r="K179" i="5"/>
  <c r="C179" i="5" s="1"/>
  <c r="K180" i="5"/>
  <c r="C180" i="5" s="1"/>
  <c r="K181" i="5"/>
  <c r="C181" i="5" s="1"/>
  <c r="K182" i="5"/>
  <c r="C182" i="5" s="1"/>
  <c r="K183" i="5"/>
  <c r="C183" i="5" s="1"/>
  <c r="K184" i="5"/>
  <c r="C184" i="5" s="1"/>
  <c r="K185" i="5"/>
  <c r="C185" i="5" s="1"/>
  <c r="K186" i="5"/>
  <c r="C186" i="5" s="1"/>
  <c r="K187" i="5"/>
  <c r="C187" i="5" s="1"/>
  <c r="K188" i="5"/>
  <c r="C188" i="5" s="1"/>
  <c r="K189" i="5"/>
  <c r="C189" i="5" s="1"/>
  <c r="K190" i="5"/>
  <c r="C190" i="5" s="1"/>
  <c r="K191" i="5"/>
  <c r="C191" i="5" s="1"/>
  <c r="K192" i="5"/>
  <c r="C192" i="5" s="1"/>
  <c r="K193" i="5"/>
  <c r="C193" i="5" s="1"/>
  <c r="K194" i="5"/>
  <c r="C194" i="5" s="1"/>
  <c r="K195" i="5"/>
  <c r="C195" i="5" s="1"/>
  <c r="K196" i="5"/>
  <c r="C196" i="5" s="1"/>
  <c r="K197" i="5"/>
  <c r="C197" i="5" s="1"/>
  <c r="K198" i="5"/>
  <c r="C198" i="5" s="1"/>
  <c r="K199" i="5"/>
  <c r="C199" i="5" s="1"/>
  <c r="K200" i="5"/>
  <c r="C200" i="5" s="1"/>
  <c r="K201" i="5"/>
  <c r="C201" i="5" s="1"/>
  <c r="K202" i="5"/>
  <c r="C202" i="5" s="1"/>
  <c r="K203" i="5"/>
  <c r="C203" i="5" s="1"/>
  <c r="K204" i="5"/>
  <c r="C204" i="5" s="1"/>
  <c r="K205" i="5"/>
  <c r="C205" i="5" s="1"/>
  <c r="K206" i="5"/>
  <c r="C206" i="5" s="1"/>
  <c r="K207" i="5"/>
  <c r="C207" i="5" s="1"/>
  <c r="K208" i="5"/>
  <c r="C208" i="5" s="1"/>
  <c r="K209" i="5"/>
  <c r="C209" i="5" s="1"/>
  <c r="K210" i="5"/>
  <c r="C210" i="5" s="1"/>
  <c r="K211" i="5"/>
  <c r="C211" i="5" s="1"/>
  <c r="K212" i="5"/>
  <c r="C212" i="5" s="1"/>
  <c r="K213" i="5"/>
  <c r="C213" i="5" s="1"/>
  <c r="K214" i="5"/>
  <c r="C214" i="5" s="1"/>
  <c r="K215" i="5"/>
  <c r="C215" i="5" s="1"/>
  <c r="K216" i="5"/>
  <c r="C216" i="5" s="1"/>
  <c r="K217" i="5"/>
  <c r="C217" i="5" s="1"/>
  <c r="K218" i="5"/>
  <c r="C218" i="5" s="1"/>
  <c r="K219" i="5"/>
  <c r="C219" i="5" s="1"/>
  <c r="K220" i="5"/>
  <c r="C220" i="5" s="1"/>
  <c r="K221" i="5"/>
  <c r="C221" i="5" s="1"/>
  <c r="K222" i="5"/>
  <c r="C222" i="5" s="1"/>
  <c r="K223" i="5"/>
  <c r="C223" i="5" s="1"/>
  <c r="K224" i="5"/>
  <c r="C224" i="5" s="1"/>
  <c r="K225" i="5"/>
  <c r="C225" i="5" s="1"/>
  <c r="K226" i="5"/>
  <c r="C226" i="5" s="1"/>
  <c r="K227" i="5"/>
  <c r="C227" i="5" s="1"/>
  <c r="K228" i="5"/>
  <c r="C228" i="5" s="1"/>
  <c r="K229" i="5"/>
  <c r="C229" i="5" s="1"/>
  <c r="K230" i="5"/>
  <c r="C230" i="5" s="1"/>
  <c r="K231" i="5"/>
  <c r="C231" i="5" s="1"/>
  <c r="K232" i="5"/>
  <c r="C232" i="5" s="1"/>
  <c r="K233" i="5"/>
  <c r="C233" i="5" s="1"/>
  <c r="K234" i="5"/>
  <c r="C234" i="5" s="1"/>
  <c r="K235" i="5"/>
  <c r="C235" i="5" s="1"/>
  <c r="K236" i="5"/>
  <c r="C236" i="5" s="1"/>
  <c r="K237" i="5"/>
  <c r="C237" i="5" s="1"/>
  <c r="K238" i="5"/>
  <c r="C238" i="5" s="1"/>
  <c r="K239" i="5"/>
  <c r="C239" i="5" s="1"/>
  <c r="K240" i="5"/>
  <c r="C240" i="5" s="1"/>
  <c r="K241" i="5"/>
  <c r="C241" i="5" s="1"/>
  <c r="K242" i="5"/>
  <c r="C242" i="5" s="1"/>
  <c r="K243" i="5"/>
  <c r="C243" i="5" s="1"/>
  <c r="K244" i="5"/>
  <c r="C244" i="5" s="1"/>
  <c r="K245" i="5"/>
  <c r="C245" i="5" s="1"/>
  <c r="K23" i="5"/>
  <c r="C23" i="5" s="1"/>
  <c r="K24" i="5"/>
  <c r="C24" i="5" s="1"/>
  <c r="K22" i="5"/>
  <c r="C22" i="5" s="1"/>
  <c r="C254" i="5"/>
  <c r="C252" i="5"/>
  <c r="C337" i="5"/>
  <c r="F337" i="5"/>
  <c r="S297" i="5" l="1"/>
  <c r="S296" i="5"/>
  <c r="S293" i="5"/>
  <c r="T293" i="5" s="1"/>
  <c r="S287" i="5"/>
  <c r="T287" i="5" s="1"/>
  <c r="S289" i="5"/>
  <c r="T289" i="5" s="1"/>
  <c r="S250" i="5"/>
  <c r="T250" i="5" s="1"/>
  <c r="S256" i="5"/>
  <c r="T256" i="5" s="1"/>
  <c r="S251" i="5"/>
  <c r="T251" i="5" s="1"/>
  <c r="S252" i="5"/>
  <c r="T252" i="5" s="1"/>
  <c r="S292" i="5"/>
  <c r="T292" i="5" s="1"/>
  <c r="S290" i="5"/>
  <c r="T290" i="5" s="1"/>
  <c r="S253" i="5"/>
  <c r="T253" i="5" s="1"/>
  <c r="S258" i="5"/>
  <c r="T258" i="5" s="1"/>
  <c r="S254" i="5"/>
  <c r="T254" i="5" s="1"/>
  <c r="C265" i="5"/>
  <c r="S257" i="5"/>
  <c r="T257" i="5" s="1"/>
  <c r="S255" i="5"/>
  <c r="T255" i="5" s="1"/>
  <c r="C256" i="5"/>
  <c r="C258" i="5" s="1"/>
  <c r="U320" i="5" s="1"/>
  <c r="D315" i="5" s="1"/>
  <c r="E255" i="5"/>
  <c r="E251" i="5" s="1"/>
  <c r="E257" i="5"/>
  <c r="P303" i="5" l="1"/>
  <c r="Q280" i="5"/>
  <c r="P273" i="5"/>
  <c r="P301" i="5"/>
  <c r="D317" i="5"/>
  <c r="D321" i="5" s="1"/>
  <c r="D316" i="5"/>
  <c r="E253" i="5"/>
  <c r="D322" i="5" s="1"/>
  <c r="P280" i="5"/>
  <c r="P279" i="5"/>
  <c r="P281" i="5"/>
  <c r="D298" i="5"/>
  <c r="D307" i="5" s="1"/>
  <c r="Q281" i="5"/>
  <c r="Q278" i="5"/>
  <c r="P275" i="5"/>
  <c r="P276" i="5"/>
  <c r="Q273" i="5"/>
  <c r="Q274" i="5"/>
  <c r="P277" i="5"/>
  <c r="Q279" i="5"/>
  <c r="Q276" i="5"/>
  <c r="P278" i="5"/>
  <c r="R281" i="5"/>
  <c r="P274" i="5"/>
  <c r="Q275" i="5"/>
  <c r="Q277" i="5"/>
  <c r="O310" i="5"/>
  <c r="O311" i="5"/>
  <c r="O312" i="5"/>
  <c r="O313" i="5"/>
  <c r="O314" i="5"/>
  <c r="O315" i="5"/>
  <c r="O316" i="5"/>
  <c r="C344" i="5" s="1"/>
  <c r="O317" i="5"/>
  <c r="R310" i="5"/>
  <c r="R311" i="5"/>
  <c r="R312" i="5"/>
  <c r="R313" i="5"/>
  <c r="F341" i="5" s="1"/>
  <c r="R314" i="5"/>
  <c r="R315" i="5"/>
  <c r="R317" i="5"/>
  <c r="S311" i="5"/>
  <c r="G339" i="5" s="1"/>
  <c r="S315" i="5"/>
  <c r="G343" i="5" s="1"/>
  <c r="S312" i="5"/>
  <c r="G340" i="5" s="1"/>
  <c r="S309" i="5"/>
  <c r="G337" i="5" s="1"/>
  <c r="S313" i="5"/>
  <c r="G341" i="5" s="1"/>
  <c r="S317" i="5"/>
  <c r="G345" i="5" s="1"/>
  <c r="S310" i="5"/>
  <c r="G338" i="5" s="1"/>
  <c r="S314" i="5"/>
  <c r="G342" i="5" s="1"/>
  <c r="D299" i="5"/>
  <c r="D303" i="5" s="1"/>
  <c r="R316" i="5" s="1"/>
  <c r="F344" i="5" s="1"/>
  <c r="J355" i="5"/>
  <c r="G263" i="5"/>
  <c r="G262" i="5"/>
  <c r="S273" i="5" l="1"/>
  <c r="T273" i="5" s="1"/>
  <c r="S280" i="5"/>
  <c r="T280" i="5" s="1"/>
  <c r="Q298" i="5"/>
  <c r="P298" i="5"/>
  <c r="P296" i="5"/>
  <c r="Q296" i="5"/>
  <c r="S316" i="5"/>
  <c r="G344" i="5" s="1"/>
  <c r="L367" i="5"/>
  <c r="R320" i="5"/>
  <c r="F307" i="5"/>
  <c r="T317" i="5"/>
  <c r="H293" i="5" s="1"/>
  <c r="S279" i="5"/>
  <c r="T279" i="5" s="1"/>
  <c r="S278" i="5"/>
  <c r="T278" i="5" s="1"/>
  <c r="T311" i="5"/>
  <c r="H339" i="5" s="1"/>
  <c r="D300" i="5"/>
  <c r="S274" i="5"/>
  <c r="T274" i="5" s="1"/>
  <c r="S277" i="5"/>
  <c r="T277" i="5" s="1"/>
  <c r="D301" i="5"/>
  <c r="T316" i="5" s="1"/>
  <c r="H344" i="5" s="1"/>
  <c r="T313" i="5"/>
  <c r="F289" i="5" s="1"/>
  <c r="T312" i="5"/>
  <c r="G288" i="5" s="1"/>
  <c r="S281" i="5"/>
  <c r="T281" i="5" s="1"/>
  <c r="T315" i="5"/>
  <c r="F291" i="5" s="1"/>
  <c r="T314" i="5"/>
  <c r="H290" i="5" s="1"/>
  <c r="T309" i="5"/>
  <c r="H285" i="5" s="1"/>
  <c r="T310" i="5"/>
  <c r="H338" i="5" s="1"/>
  <c r="S276" i="5"/>
  <c r="T276" i="5" s="1"/>
  <c r="S275" i="5"/>
  <c r="T275" i="5" s="1"/>
  <c r="C338" i="5"/>
  <c r="C345" i="5"/>
  <c r="C342" i="5"/>
  <c r="F345" i="5"/>
  <c r="F342" i="5"/>
  <c r="C340" i="5"/>
  <c r="F343" i="5"/>
  <c r="C341" i="5"/>
  <c r="C339" i="5"/>
  <c r="F339" i="5"/>
  <c r="F340" i="5"/>
  <c r="C343" i="5"/>
  <c r="F338" i="5"/>
  <c r="T298" i="5" l="1"/>
  <c r="U298" i="5" s="1"/>
  <c r="V298" i="5" s="1"/>
  <c r="G306" i="5" s="1"/>
  <c r="T296" i="5"/>
  <c r="U296" i="5" s="1"/>
  <c r="V296" i="5" s="1"/>
  <c r="N354" i="5"/>
  <c r="H307" i="5"/>
  <c r="I307" i="5"/>
  <c r="H354" i="5"/>
  <c r="H345" i="5"/>
  <c r="E293" i="5"/>
  <c r="U258" i="5" s="1"/>
  <c r="F287" i="5"/>
  <c r="U287" i="5" s="1"/>
  <c r="H287" i="5"/>
  <c r="I287" i="5" s="1"/>
  <c r="F292" i="5"/>
  <c r="H337" i="5"/>
  <c r="E287" i="5"/>
  <c r="U252" i="5" s="1"/>
  <c r="F288" i="5"/>
  <c r="U288" i="5" s="1"/>
  <c r="E285" i="5"/>
  <c r="U250" i="5" s="1"/>
  <c r="H292" i="5"/>
  <c r="I292" i="5" s="1"/>
  <c r="I299" i="5" s="1"/>
  <c r="E292" i="5"/>
  <c r="U257" i="5" s="1"/>
  <c r="H343" i="5"/>
  <c r="E291" i="5"/>
  <c r="U256" i="5" s="1"/>
  <c r="E288" i="5"/>
  <c r="U253" i="5" s="1"/>
  <c r="G292" i="5"/>
  <c r="G307" i="5" s="1"/>
  <c r="G285" i="5"/>
  <c r="U273" i="5" s="1"/>
  <c r="G290" i="5"/>
  <c r="U278" i="5" s="1"/>
  <c r="H289" i="5"/>
  <c r="I289" i="5" s="1"/>
  <c r="G289" i="5"/>
  <c r="U277" i="5" s="1"/>
  <c r="H342" i="5"/>
  <c r="E289" i="5"/>
  <c r="U254" i="5" s="1"/>
  <c r="U276" i="5"/>
  <c r="U289" i="5"/>
  <c r="H288" i="5"/>
  <c r="I288" i="5" s="1"/>
  <c r="F285" i="5"/>
  <c r="F290" i="5"/>
  <c r="U291" i="5"/>
  <c r="H341" i="5"/>
  <c r="E286" i="5"/>
  <c r="U251" i="5" s="1"/>
  <c r="I285" i="5"/>
  <c r="J288" i="5"/>
  <c r="I290" i="5"/>
  <c r="G293" i="5"/>
  <c r="F286" i="5"/>
  <c r="G291" i="5"/>
  <c r="U279" i="5" s="1"/>
  <c r="E290" i="5"/>
  <c r="U255" i="5" s="1"/>
  <c r="G286" i="5"/>
  <c r="U274" i="5" s="1"/>
  <c r="F293" i="5"/>
  <c r="G287" i="5"/>
  <c r="U275" i="5" s="1"/>
  <c r="I293" i="5"/>
  <c r="H340" i="5"/>
  <c r="H286" i="5"/>
  <c r="H291" i="5"/>
  <c r="D323" i="5" l="1"/>
  <c r="D318" i="5"/>
  <c r="F315" i="5" s="1"/>
  <c r="F306" i="5"/>
  <c r="Q297" i="5"/>
  <c r="G308" i="5"/>
  <c r="J308" i="5" s="1"/>
  <c r="U292" i="5"/>
  <c r="F298" i="5" s="1"/>
  <c r="F299" i="5"/>
  <c r="J307" i="5"/>
  <c r="F311" i="5" s="1"/>
  <c r="G299" i="5"/>
  <c r="U280" i="5"/>
  <c r="G298" i="5" s="1"/>
  <c r="H299" i="5"/>
  <c r="J289" i="5"/>
  <c r="J292" i="5"/>
  <c r="J299" i="5" s="1"/>
  <c r="U312" i="5"/>
  <c r="I340" i="5" s="1"/>
  <c r="U311" i="5"/>
  <c r="R263" i="5" s="1"/>
  <c r="U313" i="5"/>
  <c r="R265" i="5" s="1"/>
  <c r="J285" i="5"/>
  <c r="J290" i="5"/>
  <c r="U317" i="5"/>
  <c r="U293" i="5"/>
  <c r="U286" i="5"/>
  <c r="U290" i="5"/>
  <c r="U314" i="5"/>
  <c r="Q266" i="5" s="1"/>
  <c r="J293" i="5"/>
  <c r="U281" i="5"/>
  <c r="U309" i="5"/>
  <c r="P261" i="5" s="1"/>
  <c r="U285" i="5"/>
  <c r="I291" i="5"/>
  <c r="U315" i="5" s="1"/>
  <c r="J287" i="5"/>
  <c r="I286" i="5"/>
  <c r="U310" i="5" s="1"/>
  <c r="J286" i="5"/>
  <c r="J291" i="5"/>
  <c r="J306" i="5"/>
  <c r="P304" i="5" l="1"/>
  <c r="V299" i="5" s="1"/>
  <c r="P302" i="5"/>
  <c r="P297" i="5" s="1"/>
  <c r="T297" i="5" s="1"/>
  <c r="H306" i="5"/>
  <c r="I306" i="5"/>
  <c r="F308" i="5"/>
  <c r="F300" i="5"/>
  <c r="G300" i="5"/>
  <c r="J298" i="5"/>
  <c r="J300" i="5" s="1"/>
  <c r="F303" i="5"/>
  <c r="I311" i="5" s="1"/>
  <c r="R264" i="5"/>
  <c r="Q264" i="5"/>
  <c r="P264" i="5"/>
  <c r="Q267" i="5"/>
  <c r="R267" i="5"/>
  <c r="I343" i="5"/>
  <c r="P267" i="5"/>
  <c r="Q265" i="5"/>
  <c r="I341" i="5"/>
  <c r="P265" i="5"/>
  <c r="Q263" i="5"/>
  <c r="P263" i="5"/>
  <c r="I339" i="5"/>
  <c r="Q261" i="5"/>
  <c r="R261" i="5"/>
  <c r="I337" i="5"/>
  <c r="P266" i="5"/>
  <c r="R266" i="5"/>
  <c r="I342" i="5"/>
  <c r="I345" i="5"/>
  <c r="P269" i="5"/>
  <c r="Q269" i="5"/>
  <c r="R269" i="5"/>
  <c r="I338" i="5"/>
  <c r="R262" i="5"/>
  <c r="P262" i="5"/>
  <c r="Q262" i="5"/>
  <c r="U297" i="5" l="1"/>
  <c r="I308" i="5"/>
  <c r="H308" i="5"/>
  <c r="F310" i="5" s="1"/>
  <c r="U316" i="5"/>
  <c r="I344" i="5" s="1"/>
  <c r="S265" i="5"/>
  <c r="T265" i="5" s="1"/>
  <c r="U265" i="5" s="1"/>
  <c r="V313" i="5" s="1"/>
  <c r="N341" i="5" s="1"/>
  <c r="S264" i="5"/>
  <c r="T264" i="5" s="1"/>
  <c r="U264" i="5" s="1"/>
  <c r="V312" i="5" s="1"/>
  <c r="N340" i="5" s="1"/>
  <c r="S267" i="5"/>
  <c r="T267" i="5" s="1"/>
  <c r="U267" i="5" s="1"/>
  <c r="V315" i="5" s="1"/>
  <c r="N343" i="5" s="1"/>
  <c r="S263" i="5"/>
  <c r="T263" i="5" s="1"/>
  <c r="U263" i="5" s="1"/>
  <c r="V311" i="5" s="1"/>
  <c r="N339" i="5" s="1"/>
  <c r="S261" i="5"/>
  <c r="T261" i="5" s="1"/>
  <c r="U261" i="5" s="1"/>
  <c r="V309" i="5" s="1"/>
  <c r="N337" i="5" s="1"/>
  <c r="S266" i="5"/>
  <c r="T266" i="5" s="1"/>
  <c r="U266" i="5" s="1"/>
  <c r="V314" i="5" s="1"/>
  <c r="N342" i="5" s="1"/>
  <c r="S269" i="5"/>
  <c r="T269" i="5" s="1"/>
  <c r="U269" i="5" s="1"/>
  <c r="V317" i="5" s="1"/>
  <c r="N345" i="5" s="1"/>
  <c r="S262" i="5"/>
  <c r="T262" i="5" s="1"/>
  <c r="U262" i="5" s="1"/>
  <c r="V310" i="5" s="1"/>
  <c r="N338" i="5" s="1"/>
  <c r="V297" i="5" l="1"/>
  <c r="I321" i="5" s="1"/>
  <c r="I322" i="5" s="1"/>
  <c r="F325" i="5" s="1"/>
  <c r="N355" i="5" s="1"/>
  <c r="R268" i="5"/>
  <c r="Q268" i="5"/>
  <c r="P268" i="5"/>
  <c r="S268" i="5" l="1"/>
  <c r="T268" i="5" s="1"/>
  <c r="U268" i="5" s="1"/>
  <c r="H298" i="5" s="1"/>
  <c r="H300" i="5" s="1"/>
  <c r="I298" i="5" l="1"/>
  <c r="I300" i="5" s="1"/>
  <c r="F302" i="5" l="1"/>
  <c r="I310" i="5" s="1"/>
  <c r="V316" i="5" s="1"/>
  <c r="N344" i="5" s="1"/>
  <c r="V318" i="5" l="1"/>
  <c r="N346" i="5" l="1"/>
  <c r="N36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B5ReinhardC</author>
    <author>Homer Simpson</author>
    <author>B5SchwarzW</author>
    <author>HS</author>
  </authors>
  <commentList>
    <comment ref="C24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Bei der Verwendung alternativer Betriebssysteme (Linux…) wird die Berechnung der Tagegelder womöglich mit dem Fehler "'#WERT!" abgebrochen.
Geben  Sie in diesen Fällen die Tage- und Übernachtungsgelder so wie sie in der Liste erscheinen manuell in den Feldern vor.
</t>
        </r>
      </text>
    </comment>
    <comment ref="R32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Für  Reisen in Deutschland:</t>
        </r>
        <r>
          <rPr>
            <sz val="8"/>
            <color indexed="81"/>
            <rFont val="Tahoma"/>
            <family val="2"/>
          </rPr>
          <t xml:space="preserve">
Das Übernachtungsgeld ohne belegmäßigem Nachweis beträgt
 für eine Nacht 18,50€
Ansonsten gelten folgende Höchstbeträge:
Orte bis 300 Tsd Einwohner:    90€
Orte über 300 Tsd Einwohner: 120€
</t>
        </r>
        <r>
          <rPr>
            <b/>
            <sz val="8"/>
            <color indexed="81"/>
            <rFont val="Tahoma"/>
            <family val="2"/>
          </rPr>
          <t>Für  Reisen ins Ausland:</t>
        </r>
        <r>
          <rPr>
            <sz val="8"/>
            <color indexed="81"/>
            <rFont val="Tahoma"/>
            <family val="2"/>
          </rPr>
          <t xml:space="preserve">
Bei Übernachtungen ohne belegmäßigem Nachweis werden 50% des jeweiligen Übernachtungsgeldes, höchstens jedoch 30,00€ erstattet.
</t>
        </r>
        <r>
          <rPr>
            <b/>
            <sz val="8"/>
            <color indexed="81"/>
            <rFont val="Tahoma"/>
            <family val="2"/>
          </rPr>
          <t>Für Schullandheimaufenthalte: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Schullandheimaufenthalten eine Aufwandsentschädigung in Höhe von 4,00€. Die Erstattung höherer Übernachtungskosten ist im Einzelfall bei Nachweis und ausreichender Begründung der dienstlich veranlassten Notwendigkeit nicht ausgeschlossen.
</t>
        </r>
        <r>
          <rPr>
            <b/>
            <sz val="8"/>
            <color indexed="81"/>
            <rFont val="Tahoma"/>
            <family val="2"/>
          </rPr>
          <t>Für Skikurse: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Schulskikursen eine Aufwandsentschädigung in Höhe von 14,80€. Die Erstattung höherer Übernachtungskosten ist im Einzelfall bei Nachweis und ausreichender Begründung der dienstlich veranlassten Notwendigkeit nicht ausgeschlossen.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35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Bitte markieren Sie die Kontrollkästchen wenn Mahlzeiten 
a) unentgeltlich gestellt werden 
oder
b) mit dem  Pauschalreisepreis abgedeckt sind  (Ziff. 4/5 der Erläuterungen)
oder
c) in den Übernachtungskosten enthalten sind
Wenn weder a) noch b) noch c) zutreffen markieren Sie die Kontrollkästchen nicht.
Fr = Frühstück
Mi = Mittagessen
Ab = Abendessen
Beispiel:
Halbpension, beginnend am Anreisetag mit Abendessen, endend mit Frühstück am Abreisetag.
Anreistag: Fr -; Mi -; Ab x
Aufenthaltstage: Fr x; Mi -; Ab x
Abreisetag: Fr x; Mi -; Ab -
</t>
        </r>
      </text>
    </comment>
    <comment ref="J348" authorId="2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vgl. Ziff. 5 der Erläuterungen
Erfolgt hier ein Eintrag, ist unbedingt darauf zu achten, dass die im Preis enthaltenen Verpflegungsleistungen in den Spalten Fr, Mi, Ab mit Häkchen markiert werden</t>
        </r>
      </text>
    </comment>
    <comment ref="H35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Für  Reisen in Deutschland:</t>
        </r>
        <r>
          <rPr>
            <sz val="8"/>
            <color indexed="81"/>
            <rFont val="Tahoma"/>
            <family val="2"/>
          </rPr>
          <t xml:space="preserve">
Das Übernachtungsgeld ohne belegmäßigem Nachweis beträgt
 für eine Nacht 18,50€
Ansonsten gelten folgende Höchstbeträge:
Orte bis 300 Tsd Einwohner:    90€
Orte über 300 Tsd Einwohner: 120€
</t>
        </r>
        <r>
          <rPr>
            <b/>
            <sz val="8"/>
            <color indexed="81"/>
            <rFont val="Tahoma"/>
            <family val="2"/>
          </rPr>
          <t>Für  Reisen ins Ausland:</t>
        </r>
        <r>
          <rPr>
            <sz val="8"/>
            <color indexed="81"/>
            <rFont val="Tahoma"/>
            <family val="2"/>
          </rPr>
          <t xml:space="preserve">
Bei Übernachtungen ohne belegmäßigem Nachweis werden 50% des jeweiligen Übernachtungsgeldes, höchstens jedoch 30,00€ erstattet.
</t>
        </r>
        <r>
          <rPr>
            <b/>
            <sz val="8"/>
            <color indexed="81"/>
            <rFont val="Tahoma"/>
            <family val="2"/>
          </rPr>
          <t>Für Schullandheimaufenthalte: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Schullandheimaufenthalten eine Aufwandsentschädigung in Höhe von 4,00€. Die Erstattung höherer Übernachtungskosten ist im Einzelfall bei Nachweis und ausreichender Begründung der dienstlich veranlassten Notwendigkeit nicht ausgeschlossen.
</t>
        </r>
        <r>
          <rPr>
            <b/>
            <sz val="8"/>
            <color indexed="81"/>
            <rFont val="Tahoma"/>
            <family val="2"/>
          </rPr>
          <t>Für Skikurse: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Schulskikursen eine Aufwandsentschädigung in Höhe von 14,80€. Die Erstattung höherer Übernachtungskosten ist im Einzelfall bei Nachweis und ausreichender Begründung der dienstlich veranlassten Notwendigkeit nicht ausgeschlossen.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5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Ist in den Übernachtungskosten das Frühstück enthalten, bitte das auf die Übernachtung folgende Frühstück in der Spalte Fr durch das Kontrollkästchen markieren.
Das gleiche gilt, wenn weitere Verpflegungsleistungen (Halb- oder Vollpension) in den Übernachtungskosten enthalten sind. Mi für Mittagessen und Ab für Abendessen sind entsprechend mit Häkchen zu markieren.
</t>
        </r>
        <r>
          <rPr>
            <b/>
            <sz val="8"/>
            <color indexed="81"/>
            <rFont val="Tahoma"/>
            <family val="2"/>
          </rPr>
          <t xml:space="preserve">
Kein Eintrag, wenn Übernachtungskosten im Pauschalreisepreis enthalten sind
(vgl. Ziff. 5/6 der Erläuterungen).
</t>
        </r>
      </text>
    </comment>
    <comment ref="J363" authorId="3" shapeId="0" xr:uid="{00000000-0006-0000-0000-000007000000}">
      <text>
        <r>
          <rPr>
            <sz val="10"/>
            <color indexed="8"/>
            <rFont val="Arial"/>
            <family val="2"/>
          </rPr>
          <t>Eingabe  der voraussichtlich  gefahrenen Kilometer auf der kürzesten verkehrsüblichen Strecke. Umwege können nur in Ausnahmefällen anerkannt werden!</t>
        </r>
      </text>
    </comment>
    <comment ref="H36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ohne   = ohne triftige Gründe     =&gt; 0,25 Euro / km
mit      =  mit triftigen Gründen   =&gt; 0,40 Euro / km
Triftige Gründe
</t>
        </r>
        <r>
          <rPr>
            <sz val="8"/>
            <color indexed="81"/>
            <rFont val="Tahoma"/>
            <family val="2"/>
          </rPr>
          <t xml:space="preserve">6.1 1Triftige Gründe (Art. 6 Abs. 1 Satz 1) können
sowohl
dienstliche als auch schwerwiegende persönliche
Gründe sein, welche im Einzelfall oder
allgemein für bestimmte regelmäßig wiederkehrende
Dienstgeschäfte anerkannt werden können.
2Sie liegen insbesondere vor, wenn
– der Geschäftsort mit regelmäßig verkehrenden
Beförderungsmitteln nicht oder nur schwer zu
erreichen oder zu verlassen wäre,
– durch die Benutzung privateigener Fahrzeuge
voraussichtlich eine wesentliche Arbeitszeitersparnis
eintritt,
– durch die Benutzung privateigener Fahrzeuge
mehrere Dienstgeschäfte erledigt werden
können,
die bei Benutzung regelmäßig verkehrender
Beförderungsmittel nicht erledigt
werden könnten,
– notwendiges dienstliches oder angemessenes
privates Gepäck ab 10 kg oder sperriges dienstliches
Gepäck mitgenommen werden muss,
– mindestens zwei Dienstreisende desselben
Dienstherrn ein Fahrzeug gemeinsam benutzen,
der zweite Dienstreisende dabei mindestens
die Hälfte der Strecke mitfährt und für den
Mitfahrer keine unentgeltliche Fahrmöglichkeit
gegeben ist (Art. 5 Abs. 1 Satz 4)
– Dienstreisende als Schwerbehinderte erheblich
gehbehindert oder aus anderen gesundheitlichen
Gründen auf die Benutzung eines Kraftfahrzeugs
angewiesen sind. </t>
        </r>
      </text>
    </comment>
  </commentList>
</comments>
</file>

<file path=xl/sharedStrings.xml><?xml version="1.0" encoding="utf-8"?>
<sst xmlns="http://schemas.openxmlformats.org/spreadsheetml/2006/main" count="484" uniqueCount="419">
  <si>
    <t>Bitte beachten Sie, dass es sich lediglich um eine überschlägige Berechnung handelt, die nur eine unverbindliche Kostenschätzung erlaubt.</t>
  </si>
  <si>
    <t>Sonderfall</t>
  </si>
  <si>
    <t>1.</t>
  </si>
  <si>
    <t>2.</t>
  </si>
  <si>
    <t>3.</t>
  </si>
  <si>
    <t>4.</t>
  </si>
  <si>
    <t>5.</t>
  </si>
  <si>
    <t>6.</t>
  </si>
  <si>
    <t>Ansonsten Eintrag von Einzelbeträgen unter "Übernachtungskosten", "Fahrtkosten" und "Nebenkosten".</t>
  </si>
  <si>
    <t>Angabe der Unterkunftskosten (nicht bei eintägigen Reisen) Übernachtung und Anzahl der Übernachtungen im Feld "Nächte"</t>
  </si>
  <si>
    <t xml:space="preserve">Eingabemöglichkeit für Wegstreckenentschädigung bei der Benutzung eines privaten PKW's                                                                                                                                       </t>
  </si>
  <si>
    <t xml:space="preserve">Werden Pauschalreisen gebucht, bei denen mehrere Leistungen in einem Gesamtpreis enthalten sind </t>
  </si>
  <si>
    <t>(vgl. grundsätzliches Verbot der priv. PKW-Benutzung gem. KMBek 12.02.07, KWMBL. S.56 u. 58 bzw. KMBek 05.04.04, KWMBL. S. 78)</t>
  </si>
  <si>
    <t>Veranstaltung /  Lehrkraft:</t>
  </si>
  <si>
    <t>anteiliger Preis der Pauschalreise</t>
  </si>
  <si>
    <t>Nur auszufüllen, soweit Kosten nicht im Preis der Pauschalreise enthalten sind</t>
  </si>
  <si>
    <t>Mahlzeiten !</t>
  </si>
  <si>
    <t>Datum</t>
  </si>
  <si>
    <t>Beginn</t>
  </si>
  <si>
    <t>Ende</t>
  </si>
  <si>
    <t>Stunden</t>
  </si>
  <si>
    <t>Tagegeld</t>
  </si>
  <si>
    <t>Fr</t>
  </si>
  <si>
    <t>Mi</t>
  </si>
  <si>
    <t>Ab</t>
  </si>
  <si>
    <t xml:space="preserve">Zahlung </t>
  </si>
  <si>
    <r>
      <t xml:space="preserve">          Erstattung </t>
    </r>
    <r>
      <rPr>
        <b/>
        <sz val="10"/>
        <color indexed="10"/>
        <rFont val="Arial"/>
        <family val="2"/>
      </rPr>
      <t>mit</t>
    </r>
    <r>
      <rPr>
        <sz val="10"/>
        <rFont val="Arial"/>
        <family val="2"/>
      </rPr>
      <t xml:space="preserve"> oder </t>
    </r>
    <r>
      <rPr>
        <b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triftigen</t>
    </r>
    <r>
      <rPr>
        <sz val="10"/>
        <rFont val="Arial"/>
        <family val="2"/>
      </rPr>
      <t xml:space="preserve"> Grund</t>
    </r>
  </si>
  <si>
    <t xml:space="preserve">                                           Voraussichtliche Gesamtkosten</t>
  </si>
  <si>
    <r>
      <t>Wegstreckenentschädigung</t>
    </r>
    <r>
      <rPr>
        <sz val="10"/>
        <rFont val="Arial"/>
        <family val="2"/>
      </rPr>
      <t xml:space="preserve"> (PKW):</t>
    </r>
  </si>
  <si>
    <t>Übernachtungskosten:</t>
  </si>
  <si>
    <r>
      <t xml:space="preserve">Fahrkosten </t>
    </r>
    <r>
      <rPr>
        <sz val="10"/>
        <rFont val="Arial"/>
        <family val="2"/>
      </rPr>
      <t>(Bahn, Bus, etc.):</t>
    </r>
  </si>
  <si>
    <r>
      <t xml:space="preserve">Nebenkosten </t>
    </r>
    <r>
      <rPr>
        <sz val="10"/>
        <rFont val="Arial"/>
        <family val="2"/>
      </rPr>
      <t>(Eintrittsgelder, Parkscheine, etc.):</t>
    </r>
  </si>
  <si>
    <t>Belgien</t>
  </si>
  <si>
    <t>Niederlande</t>
  </si>
  <si>
    <t>Luxemburg</t>
  </si>
  <si>
    <t>Bulgarien</t>
  </si>
  <si>
    <t>Irland</t>
  </si>
  <si>
    <t>Kroatien</t>
  </si>
  <si>
    <t>Lettland</t>
  </si>
  <si>
    <t>Malta</t>
  </si>
  <si>
    <t>Norwegen</t>
  </si>
  <si>
    <t>Schweden</t>
  </si>
  <si>
    <t>Slowenien</t>
  </si>
  <si>
    <t>Zypern</t>
  </si>
  <si>
    <t>bestimmt. Die bereits vorhandenen Angaben erfolgten nur beispielhaft und sind abzuändern bzw. zu löschen.</t>
  </si>
  <si>
    <t>(Unterkunft, Verpflegung, evtl. Fahrt, evtl. bestimmte Nebenkosten),  bitte Angabe in der Zeile "anteiliger Preis für Pauschalreise".</t>
  </si>
  <si>
    <t>7.</t>
  </si>
  <si>
    <t>8.</t>
  </si>
  <si>
    <r>
      <t>Bitte beachten Sie auch die weiteren Erläuterungen in den mit einem</t>
    </r>
    <r>
      <rPr>
        <b/>
        <sz val="10"/>
        <color indexed="10"/>
        <rFont val="Arial"/>
        <family val="2"/>
      </rPr>
      <t xml:space="preserve"> roten Dreieck</t>
    </r>
    <r>
      <rPr>
        <b/>
        <sz val="10"/>
        <rFont val="Arial"/>
        <family val="2"/>
      </rPr>
      <t xml:space="preserve"> markierten Eingabefeldern.</t>
    </r>
  </si>
  <si>
    <t>Land</t>
  </si>
  <si>
    <t>TG</t>
  </si>
  <si>
    <t>ÜG</t>
  </si>
  <si>
    <t>Auswahl des Reiselandes</t>
  </si>
  <si>
    <t>Ägypten</t>
  </si>
  <si>
    <t>Andorra</t>
  </si>
  <si>
    <t>Finnland</t>
  </si>
  <si>
    <t>Island</t>
  </si>
  <si>
    <t>Ungarn</t>
  </si>
  <si>
    <t>Ukraine</t>
  </si>
  <si>
    <t>Weißrussland</t>
  </si>
  <si>
    <t>Griechenland - Athen</t>
  </si>
  <si>
    <t>China - Peking</t>
  </si>
  <si>
    <t>Italien - Mailand</t>
  </si>
  <si>
    <t>Rumänien - Bukarest</t>
  </si>
  <si>
    <t>Schweiz - Genf</t>
  </si>
  <si>
    <t>Albanien</t>
  </si>
  <si>
    <t>Argentinien</t>
  </si>
  <si>
    <t>Australien - Sydney</t>
  </si>
  <si>
    <t>Bosnien und Herzegowina</t>
  </si>
  <si>
    <t>Brasilien - Brasilia</t>
  </si>
  <si>
    <t>Brasilien - Rio de Janeiro</t>
  </si>
  <si>
    <t>Chile</t>
  </si>
  <si>
    <t>El Salvador</t>
  </si>
  <si>
    <t>Deutschland</t>
  </si>
  <si>
    <t>Indien - Neu Delhi</t>
  </si>
  <si>
    <t>Japan - Tokio</t>
  </si>
  <si>
    <t>Kanada - Ottawa</t>
  </si>
  <si>
    <t>Kanada - Toronto</t>
  </si>
  <si>
    <t>Kanada - Vancouver</t>
  </si>
  <si>
    <t>Katar</t>
  </si>
  <si>
    <t>Madagaskar</t>
  </si>
  <si>
    <t>Monaco</t>
  </si>
  <si>
    <t>Montenegro</t>
  </si>
  <si>
    <t>Neuseeland</t>
  </si>
  <si>
    <t xml:space="preserve">EINTÄGIGE Lehr- und Studienfahrten / Schülerwanderungen </t>
  </si>
  <si>
    <t>Lehr- und Studienfahrten ins AUSLAND</t>
  </si>
  <si>
    <t xml:space="preserve">Schulskikurse    </t>
  </si>
  <si>
    <t xml:space="preserve">   </t>
  </si>
  <si>
    <t>MEHRTÄGIGE Lehr- und Studienfahrten / Schülerwanderungen</t>
  </si>
  <si>
    <t xml:space="preserve">Schulandheimaufenthalte   </t>
  </si>
  <si>
    <t>Kalkulation der Reisekosten für Schülerfahrten</t>
  </si>
  <si>
    <t>AUS</t>
  </si>
  <si>
    <t>FR</t>
  </si>
  <si>
    <t>MI</t>
  </si>
  <si>
    <t>KFM</t>
  </si>
  <si>
    <t>KFO</t>
  </si>
  <si>
    <t>EIN</t>
  </si>
  <si>
    <t>MEHR</t>
  </si>
  <si>
    <t>SCHUL</t>
  </si>
  <si>
    <t>SKI</t>
  </si>
  <si>
    <t xml:space="preserve">A </t>
  </si>
  <si>
    <t>Die in der Kalkulationshilfe (Zugang über Register am unteren Rand des Tabellenblattes) vorgegebenen gelben Felder sind für Ihre Eintragungen</t>
  </si>
  <si>
    <t xml:space="preserve">Auslandsreisen </t>
  </si>
  <si>
    <t xml:space="preserve">Feld "Land" anklicken und aus der Länderliste das zutreffende Land auswählen. </t>
  </si>
  <si>
    <t xml:space="preserve">oder in den Übernachtungskosten enthalten sind.              </t>
  </si>
  <si>
    <r>
      <t xml:space="preserve">Erläuterungen zu </t>
    </r>
    <r>
      <rPr>
        <b/>
        <sz val="10"/>
        <color indexed="12"/>
        <rFont val="Arial"/>
        <family val="2"/>
      </rPr>
      <t>allen Reisearten</t>
    </r>
    <r>
      <rPr>
        <b/>
        <sz val="10"/>
        <rFont val="Arial"/>
        <family val="2"/>
      </rPr>
      <t>:                                   
(Berchnungsmaske auswählbar am unteren Rand des Tabellenblattes)</t>
    </r>
  </si>
  <si>
    <t xml:space="preserve">Pauschale Vergütung je Nacht </t>
  </si>
  <si>
    <t>Anzahl</t>
  </si>
  <si>
    <t>Kosten pro Übernachtung</t>
  </si>
  <si>
    <t>manuell</t>
  </si>
  <si>
    <t xml:space="preserve">Gesamte Strecke - gefahrene Kilometer </t>
  </si>
  <si>
    <t>von</t>
  </si>
  <si>
    <t>bis</t>
  </si>
  <si>
    <t>Uhrzeit</t>
  </si>
  <si>
    <t xml:space="preserve">im Format hh:mm  </t>
  </si>
  <si>
    <t xml:space="preserve">im Format tt.mm.jj </t>
  </si>
  <si>
    <t xml:space="preserve"> Reisebeginn und Reiseende</t>
  </si>
  <si>
    <t xml:space="preserve">  9 Tage</t>
  </si>
  <si>
    <t xml:space="preserve">  maximal erfassbare Reisezeit: </t>
  </si>
  <si>
    <t xml:space="preserve">Achtung:  </t>
  </si>
  <si>
    <t>Diese Berechnungsmaske funktioniert nur mit aktivierten Markos, eine diesbezügliche Meldung sollte beim Start erfolgt sein.</t>
  </si>
  <si>
    <t>Eingabeschritte:</t>
  </si>
  <si>
    <t>Beginn und Ende der jeweiligen Reise mit Datum und Uhrzeit eingeben. Es müssen alle vier Felder ausgefüllt werden.</t>
  </si>
  <si>
    <t>9.</t>
  </si>
  <si>
    <t>Womöglich müssen Sie hierzu unter Extras / Makro / Sicherheit die Sicherheitsstufe auf Mittel setzen. Eine Gefährdung besteht nicht.</t>
  </si>
  <si>
    <t>Bitte beachten Sie, dass es sich lediglich um eine überschlägige Berechnung handelt, die nur eine</t>
  </si>
  <si>
    <t>Fahrt Musterhausen, Max Mustermann</t>
  </si>
  <si>
    <t>unverbindliche Kostenschätzung erlaubt. Erläuterungen finden Sie im nächsten Tabellenblatt.</t>
  </si>
  <si>
    <t>Afghanistan</t>
  </si>
  <si>
    <t>Algerien</t>
  </si>
  <si>
    <t>Angola</t>
  </si>
  <si>
    <t>Armenien</t>
  </si>
  <si>
    <t>Aserbaidschan</t>
  </si>
  <si>
    <t>Äthiopien</t>
  </si>
  <si>
    <t>Australien - im Übrigen</t>
  </si>
  <si>
    <t>Bahrain</t>
  </si>
  <si>
    <t>Bangladesch</t>
  </si>
  <si>
    <t>Barbados</t>
  </si>
  <si>
    <t>Benin</t>
  </si>
  <si>
    <t>Bolivien</t>
  </si>
  <si>
    <t>Botsuana</t>
  </si>
  <si>
    <t>Brasilien - im Übrigen</t>
  </si>
  <si>
    <t>Brunei</t>
  </si>
  <si>
    <t>Burkina Faso</t>
  </si>
  <si>
    <t>Burundi</t>
  </si>
  <si>
    <t>China - Chengdu</t>
  </si>
  <si>
    <t>China - im Übrigen</t>
  </si>
  <si>
    <t>Costa Rica</t>
  </si>
  <si>
    <t>Dominikanische Republik</t>
  </si>
  <si>
    <t>Dschibuti</t>
  </si>
  <si>
    <t>Ecuador</t>
  </si>
  <si>
    <t>Eritrea</t>
  </si>
  <si>
    <t>Fidschi</t>
  </si>
  <si>
    <t>Frankreich - im Übrigen</t>
  </si>
  <si>
    <t>Gabun</t>
  </si>
  <si>
    <t>Gambia</t>
  </si>
  <si>
    <t>Georgien</t>
  </si>
  <si>
    <t>Ghana</t>
  </si>
  <si>
    <t>Guatemala</t>
  </si>
  <si>
    <t>Guinea</t>
  </si>
  <si>
    <t>Haiti</t>
  </si>
  <si>
    <t>Honduras</t>
  </si>
  <si>
    <t>Indien - Chennai</t>
  </si>
  <si>
    <t>Indien - im Übrigen</t>
  </si>
  <si>
    <t>Indonesien</t>
  </si>
  <si>
    <t>Iran</t>
  </si>
  <si>
    <t>Italien - im Übrigen</t>
  </si>
  <si>
    <t>Jamaika</t>
  </si>
  <si>
    <t>Japan - im Übrigen</t>
  </si>
  <si>
    <t>Jemen</t>
  </si>
  <si>
    <t>Jordanien</t>
  </si>
  <si>
    <t>Kambodscha</t>
  </si>
  <si>
    <t>Kanada - im Übrigen</t>
  </si>
  <si>
    <t>Kasachstan</t>
  </si>
  <si>
    <t>Kenia</t>
  </si>
  <si>
    <t>Kirgisistan</t>
  </si>
  <si>
    <t>Kolumbien</t>
  </si>
  <si>
    <t>Kongo, Demokratische Republik</t>
  </si>
  <si>
    <t>Kongo, Republik</t>
  </si>
  <si>
    <t>Korea, Demokratische Volksrepublik</t>
  </si>
  <si>
    <t>Korea, Republik</t>
  </si>
  <si>
    <t>Kosovo</t>
  </si>
  <si>
    <t>Kuba</t>
  </si>
  <si>
    <t>Kuwait</t>
  </si>
  <si>
    <t>Laos</t>
  </si>
  <si>
    <t>Lesotho</t>
  </si>
  <si>
    <t>Libanon</t>
  </si>
  <si>
    <t>Libyen</t>
  </si>
  <si>
    <t>Malawi</t>
  </si>
  <si>
    <t>Malaysia</t>
  </si>
  <si>
    <t>Mali</t>
  </si>
  <si>
    <t>Marokko</t>
  </si>
  <si>
    <t>Mauretanien</t>
  </si>
  <si>
    <t>Mauritius</t>
  </si>
  <si>
    <t>Mexiko</t>
  </si>
  <si>
    <t>Moldau, Republik</t>
  </si>
  <si>
    <t>Mongolei</t>
  </si>
  <si>
    <t>Mosambik</t>
  </si>
  <si>
    <t>Myanmar</t>
  </si>
  <si>
    <t>Namibia</t>
  </si>
  <si>
    <t>Nepal</t>
  </si>
  <si>
    <t>Nicaragua</t>
  </si>
  <si>
    <t>Niger</t>
  </si>
  <si>
    <t>Nigeria</t>
  </si>
  <si>
    <t>Oman</t>
  </si>
  <si>
    <t>Pakistan - im Übrigen</t>
  </si>
  <si>
    <t>Pakistan - Islamabad</t>
  </si>
  <si>
    <t>Panama</t>
  </si>
  <si>
    <t>Papua-Neuguinea</t>
  </si>
  <si>
    <t>Paraguay</t>
  </si>
  <si>
    <t>Peru</t>
  </si>
  <si>
    <t>Philippinen</t>
  </si>
  <si>
    <t>Polen - im Übrigen</t>
  </si>
  <si>
    <t>Ruanda</t>
  </si>
  <si>
    <t>Rumänien - im Übrigen</t>
  </si>
  <si>
    <t>Sambia</t>
  </si>
  <si>
    <t>Samoa</t>
  </si>
  <si>
    <t>San Marino</t>
  </si>
  <si>
    <t>Saudi-Arabien - Djidda</t>
  </si>
  <si>
    <t>Saudi-Arabien - im Übrigen</t>
  </si>
  <si>
    <t>Saudi-Arabien - Riad</t>
  </si>
  <si>
    <t>Schweiz - im Übrigen</t>
  </si>
  <si>
    <t>Senegal</t>
  </si>
  <si>
    <t>Simbabwe</t>
  </si>
  <si>
    <t>Singapur</t>
  </si>
  <si>
    <t>Slowakische Republik</t>
  </si>
  <si>
    <t>Spanien - Kanarische Inseln</t>
  </si>
  <si>
    <t>Spanien - Palma de Mallorca</t>
  </si>
  <si>
    <t>Spanien - im Übrigen</t>
  </si>
  <si>
    <t>Sri Lanka</t>
  </si>
  <si>
    <t>Südafrika - Kapstadt</t>
  </si>
  <si>
    <t>Sudan</t>
  </si>
  <si>
    <t>Syrien</t>
  </si>
  <si>
    <t>Tadschikistan</t>
  </si>
  <si>
    <t>Taiwan</t>
  </si>
  <si>
    <t>Tansania</t>
  </si>
  <si>
    <t>Thailand</t>
  </si>
  <si>
    <t>Togo</t>
  </si>
  <si>
    <t>Tonga</t>
  </si>
  <si>
    <t>Tschad</t>
  </si>
  <si>
    <t>Tschechische Republik</t>
  </si>
  <si>
    <t>Tunesien</t>
  </si>
  <si>
    <t>Türkei - im Übrigen</t>
  </si>
  <si>
    <t>Turkmenistan</t>
  </si>
  <si>
    <t>Uganda</t>
  </si>
  <si>
    <t>Uruguay</t>
  </si>
  <si>
    <t>Usbekistan</t>
  </si>
  <si>
    <t>Vatikanstaat</t>
  </si>
  <si>
    <t>Venezuela</t>
  </si>
  <si>
    <t>Vietnam</t>
  </si>
  <si>
    <t>Zentralafrikanische Republik</t>
  </si>
  <si>
    <t xml:space="preserve">Eingabe von Mahlzeiten, die die Lehrkraft unentgeltlich erhält oder die mit dem Pauschalreisepreis (vgl. Ziff. 5) abgegolten </t>
  </si>
  <si>
    <t xml:space="preserve">(soweit Unterkunftskosten nicht im Preis der Pauschalreise enthalten sind - vgl. Ziff. 5 - )  </t>
  </si>
  <si>
    <t xml:space="preserve">Angabe der Fahrt- und Nebenkosten, soweit diese gesondert beziffert werden können (vgl. Ziff. 5).       </t>
  </si>
  <si>
    <t>Äquatorialguinea</t>
  </si>
  <si>
    <t>Australien - Canberra</t>
  </si>
  <si>
    <t>Indien - Mumbai</t>
  </si>
  <si>
    <t>Kamerun</t>
  </si>
  <si>
    <t>Österreich</t>
  </si>
  <si>
    <t>Südsudan</t>
  </si>
  <si>
    <t>Optionale manuelle Vorabe:</t>
  </si>
  <si>
    <t>Marshall Inseln</t>
  </si>
  <si>
    <t>Palau</t>
  </si>
  <si>
    <t>Polen - Breslau</t>
  </si>
  <si>
    <t>Polen - Danzig</t>
  </si>
  <si>
    <t>Polen - Krakau</t>
  </si>
  <si>
    <t>Polen - Warschau</t>
  </si>
  <si>
    <t>Spanien - Barcelona</t>
  </si>
  <si>
    <t>Spanien - Madrid</t>
  </si>
  <si>
    <t>Türkei - Istanbul</t>
  </si>
  <si>
    <t>Portugal</t>
  </si>
  <si>
    <t>Südafrika - Johannesburg</t>
  </si>
  <si>
    <t>Die betreffende Reiseart durch Klick auf den jeweiligen Button auswählen. Schulskikurse ins Ausland werden wie Skikurse im Inland abgerechnet.</t>
  </si>
  <si>
    <t>China - Kanton</t>
  </si>
  <si>
    <t>Internationaler Schüleraustausch</t>
  </si>
  <si>
    <t>#TageAnzahl</t>
  </si>
  <si>
    <t>#BeginnReise</t>
  </si>
  <si>
    <t>#EndeReise</t>
  </si>
  <si>
    <t>Feste Werte</t>
  </si>
  <si>
    <t>#AusgabeReiseart</t>
  </si>
  <si>
    <t>#Abfrage Eingabefelder leer</t>
  </si>
  <si>
    <t>#Übernachtungen Anzahl</t>
  </si>
  <si>
    <t>#CkecksumEintägig</t>
  </si>
  <si>
    <t>DTG</t>
  </si>
  <si>
    <t>DÜG</t>
  </si>
  <si>
    <t>#länderswitch</t>
  </si>
  <si>
    <t>#landname</t>
  </si>
  <si>
    <t>#landtg</t>
  </si>
  <si>
    <t>#landüg</t>
  </si>
  <si>
    <t>Austausch</t>
  </si>
  <si>
    <t>#Berechnung Tagegeld/Stunden</t>
  </si>
  <si>
    <t>Tag1</t>
  </si>
  <si>
    <t>Tag2</t>
  </si>
  <si>
    <t>Tag3</t>
  </si>
  <si>
    <t>Tag4</t>
  </si>
  <si>
    <t>Tag5</t>
  </si>
  <si>
    <t>Tag6</t>
  </si>
  <si>
    <t>Tag7</t>
  </si>
  <si>
    <t>Tag8</t>
  </si>
  <si>
    <t>Tag9</t>
  </si>
  <si>
    <t>Berechnungsgrenzen</t>
  </si>
  <si>
    <t xml:space="preserve">Resttage </t>
  </si>
  <si>
    <t>Restunden</t>
  </si>
  <si>
    <t>Auslandskürzungen</t>
  </si>
  <si>
    <t>gekürztes TG Überlauf</t>
  </si>
  <si>
    <t>Mehrtägige Kürzungen</t>
  </si>
  <si>
    <t>Tagesreisen</t>
  </si>
  <si>
    <t>Skikurs</t>
  </si>
  <si>
    <t>Benutzung des PKWs aus trifftigen Gründen</t>
  </si>
  <si>
    <t>#TGmanuell</t>
  </si>
  <si>
    <t>#ÜGManuell</t>
  </si>
  <si>
    <t>Eingaben</t>
  </si>
  <si>
    <t>#TGAusland</t>
  </si>
  <si>
    <t>#ÜGAusland</t>
  </si>
  <si>
    <t>KFZ</t>
  </si>
  <si>
    <t>Steuerun Kürzung Verpflegung</t>
  </si>
  <si>
    <t>Steuerung sonstige Kosten</t>
  </si>
  <si>
    <t>TG An/Abreise Ausland 0,8</t>
  </si>
  <si>
    <t>TG An/Abreise Ausland 0,4</t>
  </si>
  <si>
    <t># Überlauf 1  (Reisen 10 bis 16 Tage) - nur TG</t>
  </si>
  <si>
    <t>RestTG voll</t>
  </si>
  <si>
    <t>TG gekürzt</t>
  </si>
  <si>
    <t>TGGesamt gekürzt</t>
  </si>
  <si>
    <t>TGReisespezifisch</t>
  </si>
  <si>
    <t># Tag 1-7 sind einzeln gelistet, verbleiben 8 für Tag 1-15</t>
  </si>
  <si>
    <t xml:space="preserve"> </t>
  </si>
  <si>
    <t>Anzeige</t>
  </si>
  <si>
    <t>Sonderfall!</t>
  </si>
  <si>
    <t>Gesamttage</t>
  </si>
  <si>
    <t>Resttage Obergrenze - Sonderregelung ab Tag 16</t>
  </si>
  <si>
    <t>Resttage ab 16</t>
  </si>
  <si>
    <t>RestÜG 16</t>
  </si>
  <si>
    <t>Ügmanuell check</t>
  </si>
  <si>
    <t>ÜG SUMME vor Sonderfall</t>
  </si>
  <si>
    <t>TGGesamt ungekürzt</t>
  </si>
  <si>
    <t>TGVollReisespezifisch</t>
  </si>
  <si>
    <t>SUMMETGgekürzt</t>
  </si>
  <si>
    <t>SUMMETGVOLL</t>
  </si>
  <si>
    <t>Kürzungen bei Reisen über 16 Tagen</t>
  </si>
  <si>
    <t>Unentgeltliche Übernachtung (Freiplatz)</t>
  </si>
  <si>
    <t>Freiplatz?</t>
  </si>
  <si>
    <t>#checksum 8A</t>
  </si>
  <si>
    <t>EINGABE UNGÜLTIG - Reiseart überprüfen!</t>
  </si>
  <si>
    <t>Bei TECHNISCHEN Problemen wenden Sie sich bitte an:</t>
  </si>
  <si>
    <t>Bitte wenden Sie sich bei fachlichen und rechtlichen Fragen an die einzelnen Referate bzw. zuständigen Sachbearbeiter.</t>
  </si>
  <si>
    <t>rks_service@lff.bayern.de</t>
  </si>
  <si>
    <t>Übernachtung Tag 1 -  16</t>
  </si>
  <si>
    <t>Ausland 16+ TG</t>
  </si>
  <si>
    <t>Ügpauschhöchst</t>
  </si>
  <si>
    <t>Inland 16+TG</t>
  </si>
  <si>
    <t>Inland 16+ÜG</t>
  </si>
  <si>
    <t>InlandTG</t>
  </si>
  <si>
    <t>InlandÜG</t>
  </si>
  <si>
    <t>ÜGmitKürzung</t>
  </si>
  <si>
    <t>ÜGmitKürzung SUMME</t>
  </si>
  <si>
    <t>F</t>
  </si>
  <si>
    <t>M</t>
  </si>
  <si>
    <t>A</t>
  </si>
  <si>
    <t>Ü</t>
  </si>
  <si>
    <t>Übernachtung Tag 16+</t>
  </si>
  <si>
    <t>#Überlauf 2 ab 16. Tag Sonderfälle (TG)</t>
  </si>
  <si>
    <t>AuslandTG</t>
  </si>
  <si>
    <t>AuslandÜG</t>
  </si>
  <si>
    <t>Ausland 16+ ÜG</t>
  </si>
  <si>
    <t>Übernachtungen gesamt</t>
  </si>
  <si>
    <t>Übernachtungen ohne Sonderfall</t>
  </si>
  <si>
    <t>Übernachtungen mit Sonderfall</t>
  </si>
  <si>
    <t>Kürzungsbetrag</t>
  </si>
  <si>
    <t>Pürfung HG</t>
  </si>
  <si>
    <t>Rundung</t>
  </si>
  <si>
    <t>Auszahluungsbetrag</t>
  </si>
  <si>
    <t>SUMME ÜG TOTAL</t>
  </si>
  <si>
    <t>Indien - Bangalore</t>
  </si>
  <si>
    <t>6.1 cr@lff</t>
  </si>
  <si>
    <t>0981 888 5104</t>
  </si>
  <si>
    <t>christoph.reinhard@lff.bayern.de</t>
  </si>
  <si>
    <t xml:space="preserve">09415044 3500 </t>
  </si>
  <si>
    <t>Frankreich - Paris &amp; Île de France</t>
  </si>
  <si>
    <t>Griechenland - im Übrigen</t>
  </si>
  <si>
    <t>Italien - Rom</t>
  </si>
  <si>
    <t>Russland - Jekaterinburg</t>
  </si>
  <si>
    <t>Russland - Moskau</t>
  </si>
  <si>
    <t>Russland - im Übrigen</t>
  </si>
  <si>
    <t>Vereinigtes Königreichvon Großbritannien und Nordirland - London</t>
  </si>
  <si>
    <t>Brasilien - Sao Paulo</t>
  </si>
  <si>
    <t>China - Hongkong</t>
  </si>
  <si>
    <t>China- Shanghai</t>
  </si>
  <si>
    <t>Côte d'Ivoire</t>
  </si>
  <si>
    <t>Dänemark</t>
  </si>
  <si>
    <t>Estland</t>
  </si>
  <si>
    <t>48</t>
  </si>
  <si>
    <t>159</t>
  </si>
  <si>
    <t>Guinea-Bissau</t>
  </si>
  <si>
    <t>Indien - Kalkutta</t>
  </si>
  <si>
    <t>Israel</t>
  </si>
  <si>
    <t>Liechtenstein</t>
  </si>
  <si>
    <t>Litauen</t>
  </si>
  <si>
    <t>Malediven</t>
  </si>
  <si>
    <t>Nordmazedonien</t>
  </si>
  <si>
    <t>Serbien</t>
  </si>
  <si>
    <t>Südafrika - im Übrigen</t>
  </si>
  <si>
    <t>Vereinigte Arabische Emirate</t>
  </si>
  <si>
    <t>Vereinigte Staaten von Amerika - Atlanta</t>
  </si>
  <si>
    <t>Vereinigte Staaten von Amerika - Boston</t>
  </si>
  <si>
    <t>Vereinigte Staaten von Amerika - Chicago</t>
  </si>
  <si>
    <t>Vereinigte Staaten von Amerika - Houston</t>
  </si>
  <si>
    <t>Vereinigte Staaten von Amerika - Los Angeles</t>
  </si>
  <si>
    <t>Vereinigte Staaten von Amerika - New York City</t>
  </si>
  <si>
    <t>Vereinigte Staaten von Amerika - San Francisco</t>
  </si>
  <si>
    <t>Vereinigte Staaten von Amerika - Washington, D. C.</t>
  </si>
  <si>
    <t>Vereinigte Staaten von Amerika - im Übrigen</t>
  </si>
  <si>
    <t>Vereinigtes Königreichvon Großbritannien und Nordirland  - im Übrigen</t>
  </si>
  <si>
    <r>
      <t>Kap</t>
    </r>
    <r>
      <rPr>
        <sz val="9"/>
        <color theme="0"/>
        <rFont val="Arial"/>
        <family val="2"/>
      </rPr>
      <t xml:space="preserve"> Verde</t>
    </r>
  </si>
  <si>
    <r>
      <t>Russland - St.</t>
    </r>
    <r>
      <rPr>
        <sz val="9"/>
        <color theme="0"/>
        <rFont val="Arial"/>
        <family val="2"/>
      </rPr>
      <t xml:space="preserve"> Petersburg</t>
    </r>
  </si>
  <si>
    <r>
      <t>Sao Tomé und</t>
    </r>
    <r>
      <rPr>
        <sz val="9"/>
        <color theme="0"/>
        <rFont val="Arial"/>
        <family val="2"/>
      </rPr>
      <t xml:space="preserve"> Principe</t>
    </r>
  </si>
  <si>
    <r>
      <t>Sierra</t>
    </r>
    <r>
      <rPr>
        <sz val="9"/>
        <color theme="0"/>
        <rFont val="Arial"/>
        <family val="2"/>
      </rPr>
      <t xml:space="preserve"> Leone</t>
    </r>
  </si>
  <si>
    <r>
      <t>Trinidad und Tobago****</t>
    </r>
    <r>
      <rPr>
        <sz val="6.5"/>
        <color theme="0"/>
        <rFont val="Arial"/>
        <family val="2"/>
      </rPr>
      <t>)</t>
    </r>
  </si>
  <si>
    <r>
      <t>Türkei -</t>
    </r>
    <r>
      <rPr>
        <sz val="9"/>
        <color theme="0"/>
        <rFont val="Arial"/>
        <family val="2"/>
      </rPr>
      <t xml:space="preserve"> Izmir</t>
    </r>
  </si>
  <si>
    <r>
      <t>Vereinigte Staaten von Amerika -</t>
    </r>
    <r>
      <rPr>
        <sz val="9"/>
        <color theme="0"/>
        <rFont val="Arial"/>
        <family val="2"/>
      </rPr>
      <t xml:space="preserve"> Miami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</si>
</sst>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.00&quot; € &quot;;\-#,##0.00&quot; € &quot;;&quot; -&quot;#&quot; € &quot;;@\ "/>
    <numFmt numFmtId="165" formatCode="#,##0.00&quot; EUR&quot;;\-#,##0.00&quot; EUR&quot;"/>
    <numFmt numFmtId="166" formatCode="[h]:mm:ss;@"/>
    <numFmt numFmtId="167" formatCode="#,##0.00\ ;\-#,##0.00\ "/>
    <numFmt numFmtId="168" formatCode="#,##0&quot; € &quot;;\-#,##0&quot; € &quot;;&quot; -&quot;#&quot; € &quot;;@\ "/>
    <numFmt numFmtId="169" formatCode="[$-F400]h:mm:ss\ AM/PM"/>
    <numFmt numFmtId="170" formatCode="#,##0.0&quot; € &quot;;\-#,##0.0&quot; € &quot;;&quot; -&quot;#.0&quot; € &quot;;@\ "/>
    <numFmt numFmtId="171" formatCode="#,##0.00_ ;\-#,##0.00\ "/>
    <numFmt numFmtId="172" formatCode="#,##0.000&quot; € &quot;;\-#,##0.000&quot; € &quot;;&quot; -&quot;#.0&quot; € &quot;;@\ "/>
    <numFmt numFmtId="173" formatCode="#,##0.0000&quot; € &quot;;\-#,##0.0000&quot; € &quot;;&quot; -&quot;#.00&quot; € &quot;;@\ "/>
    <numFmt numFmtId="174" formatCode="0.000"/>
    <numFmt numFmtId="175" formatCode="0.0000"/>
    <numFmt numFmtId="176" formatCode="#,##0.0000_ ;\-#,##0.0000\ "/>
  </numFmts>
  <fonts count="31" x14ac:knownFonts="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10"/>
      <color indexed="5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5"/>
      <name val="Arial"/>
      <family val="2"/>
    </font>
    <font>
      <sz val="1"/>
      <color theme="5"/>
      <name val="Arial"/>
      <family val="2"/>
    </font>
    <font>
      <b/>
      <sz val="10"/>
      <color theme="5"/>
      <name val="Arial"/>
      <family val="2"/>
    </font>
    <font>
      <u/>
      <sz val="10"/>
      <color indexed="12"/>
      <name val="Arial"/>
      <family val="2"/>
    </font>
    <font>
      <sz val="9"/>
      <color theme="0"/>
      <name val="Arial"/>
      <family val="2"/>
    </font>
    <font>
      <sz val="9.5"/>
      <color theme="0"/>
      <name val="Arial"/>
      <family val="2"/>
    </font>
    <font>
      <sz val="6.5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4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34"/>
      </patternFill>
    </fill>
    <fill>
      <patternFill patternType="solid">
        <fgColor indexed="4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518">
    <xf numFmtId="0" fontId="0" fillId="0" borderId="0" xfId="0"/>
    <xf numFmtId="164" fontId="0" fillId="2" borderId="1" xfId="2" applyFont="1" applyFill="1" applyBorder="1" applyAlignment="1" applyProtection="1">
      <alignment horizontal="center"/>
    </xf>
    <xf numFmtId="166" fontId="0" fillId="3" borderId="2" xfId="0" applyNumberFormat="1" applyFont="1" applyFill="1" applyBorder="1" applyAlignment="1" applyProtection="1">
      <alignment horizontal="center"/>
    </xf>
    <xf numFmtId="165" fontId="0" fillId="3" borderId="0" xfId="2" applyNumberFormat="1" applyFont="1" applyFill="1" applyBorder="1" applyAlignment="1" applyProtection="1">
      <alignment horizontal="left"/>
    </xf>
    <xf numFmtId="165" fontId="1" fillId="3" borderId="0" xfId="2" applyNumberFormat="1" applyFont="1" applyFill="1" applyBorder="1" applyAlignment="1" applyProtection="1">
      <alignment horizontal="left"/>
    </xf>
    <xf numFmtId="165" fontId="1" fillId="3" borderId="3" xfId="2" applyNumberFormat="1" applyFont="1" applyFill="1" applyBorder="1" applyAlignment="1" applyProtection="1">
      <alignment horizontal="left"/>
    </xf>
    <xf numFmtId="165" fontId="1" fillId="3" borderId="0" xfId="2" applyNumberFormat="1" applyFont="1" applyFill="1" applyBorder="1" applyAlignment="1" applyProtection="1"/>
    <xf numFmtId="165" fontId="1" fillId="3" borderId="6" xfId="2" applyNumberFormat="1" applyFont="1" applyFill="1" applyBorder="1" applyAlignment="1" applyProtection="1">
      <alignment horizontal="left"/>
    </xf>
    <xf numFmtId="165" fontId="1" fillId="3" borderId="8" xfId="2" applyNumberFormat="1" applyFont="1" applyFill="1" applyBorder="1" applyAlignment="1" applyProtection="1"/>
    <xf numFmtId="165" fontId="1" fillId="3" borderId="8" xfId="2" applyNumberFormat="1" applyFont="1" applyFill="1" applyBorder="1" applyAlignment="1" applyProtection="1">
      <alignment horizontal="left"/>
    </xf>
    <xf numFmtId="165" fontId="1" fillId="3" borderId="9" xfId="2" applyNumberFormat="1" applyFont="1" applyFill="1" applyBorder="1" applyAlignment="1" applyProtection="1"/>
    <xf numFmtId="165" fontId="1" fillId="3" borderId="10" xfId="2" applyNumberFormat="1" applyFont="1" applyFill="1" applyBorder="1" applyAlignment="1" applyProtection="1"/>
    <xf numFmtId="165" fontId="1" fillId="3" borderId="13" xfId="2" applyNumberFormat="1" applyFont="1" applyFill="1" applyBorder="1" applyAlignment="1" applyProtection="1">
      <alignment horizontal="left"/>
    </xf>
    <xf numFmtId="165" fontId="1" fillId="3" borderId="14" xfId="2" applyNumberFormat="1" applyFont="1" applyFill="1" applyBorder="1" applyAlignment="1" applyProtection="1">
      <alignment horizontal="left"/>
    </xf>
    <xf numFmtId="165" fontId="0" fillId="3" borderId="8" xfId="2" applyNumberFormat="1" applyFont="1" applyFill="1" applyBorder="1" applyAlignment="1" applyProtection="1">
      <alignment horizontal="left"/>
    </xf>
    <xf numFmtId="165" fontId="0" fillId="3" borderId="9" xfId="2" applyNumberFormat="1" applyFont="1" applyFill="1" applyBorder="1" applyAlignment="1" applyProtection="1">
      <alignment horizontal="left"/>
    </xf>
    <xf numFmtId="165" fontId="0" fillId="3" borderId="10" xfId="2" applyNumberFormat="1" applyFont="1" applyFill="1" applyBorder="1" applyAlignment="1" applyProtection="1">
      <alignment horizontal="left"/>
    </xf>
    <xf numFmtId="164" fontId="15" fillId="3" borderId="0" xfId="1" applyFill="1" applyBorder="1" applyAlignment="1" applyProtection="1">
      <alignment horizontal="center"/>
    </xf>
    <xf numFmtId="165" fontId="1" fillId="3" borderId="17" xfId="2" applyNumberFormat="1" applyFont="1" applyFill="1" applyBorder="1" applyAlignment="1" applyProtection="1">
      <alignment horizontal="left"/>
    </xf>
    <xf numFmtId="0" fontId="0" fillId="3" borderId="18" xfId="0" applyFill="1" applyBorder="1" applyAlignment="1" applyProtection="1">
      <alignment horizontal="center"/>
    </xf>
    <xf numFmtId="165" fontId="2" fillId="0" borderId="0" xfId="2" applyNumberFormat="1" applyFont="1" applyFill="1" applyBorder="1" applyAlignment="1" applyProtection="1">
      <alignment horizontal="center"/>
      <protection hidden="1"/>
    </xf>
    <xf numFmtId="20" fontId="2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6" fillId="0" borderId="0" xfId="0" applyFont="1" applyProtection="1"/>
    <xf numFmtId="0" fontId="0" fillId="6" borderId="0" xfId="0" applyFill="1" applyProtection="1"/>
    <xf numFmtId="0" fontId="15" fillId="0" borderId="0" xfId="0" applyFont="1" applyProtection="1"/>
    <xf numFmtId="0" fontId="0" fillId="0" borderId="0" xfId="0" applyProtection="1"/>
    <xf numFmtId="0" fontId="2" fillId="6" borderId="0" xfId="0" applyFont="1" applyFill="1" applyProtection="1"/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left" wrapText="1"/>
    </xf>
    <xf numFmtId="0" fontId="9" fillId="7" borderId="14" xfId="0" applyFont="1" applyFill="1" applyBorder="1" applyProtection="1"/>
    <xf numFmtId="0" fontId="9" fillId="7" borderId="14" xfId="0" applyFont="1" applyFill="1" applyBorder="1" applyAlignment="1" applyProtection="1">
      <alignment vertical="center"/>
    </xf>
    <xf numFmtId="0" fontId="9" fillId="7" borderId="0" xfId="0" applyFont="1" applyFill="1" applyBorder="1" applyProtection="1"/>
    <xf numFmtId="0" fontId="9" fillId="7" borderId="0" xfId="0" applyFont="1" applyFill="1" applyBorder="1" applyAlignment="1" applyProtection="1">
      <alignment vertical="center"/>
    </xf>
    <xf numFmtId="0" fontId="9" fillId="7" borderId="10" xfId="0" applyFont="1" applyFill="1" applyBorder="1" applyProtection="1"/>
    <xf numFmtId="0" fontId="9" fillId="7" borderId="10" xfId="0" applyFont="1" applyFill="1" applyBorder="1" applyAlignment="1" applyProtection="1">
      <alignment vertical="center"/>
    </xf>
    <xf numFmtId="0" fontId="9" fillId="6" borderId="0" xfId="0" applyFont="1" applyFill="1" applyBorder="1" applyProtection="1"/>
    <xf numFmtId="0" fontId="9" fillId="6" borderId="0" xfId="0" applyFont="1" applyFill="1" applyBorder="1" applyAlignment="1" applyProtection="1">
      <alignment vertical="center"/>
    </xf>
    <xf numFmtId="0" fontId="1" fillId="7" borderId="19" xfId="0" applyFont="1" applyFill="1" applyBorder="1" applyAlignment="1" applyProtection="1">
      <alignment horizontal="left" vertical="center"/>
    </xf>
    <xf numFmtId="0" fontId="1" fillId="7" borderId="20" xfId="0" applyFont="1" applyFill="1" applyBorder="1" applyAlignment="1" applyProtection="1">
      <alignment horizontal="left" vertical="center"/>
    </xf>
    <xf numFmtId="0" fontId="1" fillId="7" borderId="20" xfId="0" applyFont="1" applyFill="1" applyBorder="1" applyAlignment="1" applyProtection="1">
      <alignment horizontal="center" vertical="center"/>
    </xf>
    <xf numFmtId="0" fontId="0" fillId="7" borderId="20" xfId="0" applyFill="1" applyBorder="1" applyProtection="1"/>
    <xf numFmtId="0" fontId="0" fillId="7" borderId="21" xfId="0" applyFill="1" applyBorder="1" applyProtection="1"/>
    <xf numFmtId="0" fontId="1" fillId="8" borderId="22" xfId="0" applyFont="1" applyFill="1" applyBorder="1" applyAlignment="1" applyProtection="1">
      <alignment horizontal="center"/>
    </xf>
    <xf numFmtId="0" fontId="15" fillId="9" borderId="19" xfId="0" applyFont="1" applyFill="1" applyBorder="1" applyAlignment="1" applyProtection="1">
      <alignment horizontal="left" vertical="center"/>
    </xf>
    <xf numFmtId="0" fontId="0" fillId="9" borderId="20" xfId="0" applyFill="1" applyBorder="1" applyAlignment="1" applyProtection="1">
      <alignment horizontal="left"/>
    </xf>
    <xf numFmtId="0" fontId="6" fillId="9" borderId="20" xfId="0" applyFont="1" applyFill="1" applyBorder="1" applyAlignment="1" applyProtection="1">
      <alignment horizontal="center"/>
    </xf>
    <xf numFmtId="0" fontId="6" fillId="9" borderId="21" xfId="0" applyFont="1" applyFill="1" applyBorder="1" applyAlignment="1" applyProtection="1">
      <alignment horizontal="center"/>
    </xf>
    <xf numFmtId="170" fontId="15" fillId="7" borderId="23" xfId="1" applyNumberForma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left" wrapText="1"/>
    </xf>
    <xf numFmtId="0" fontId="0" fillId="2" borderId="1" xfId="0" applyFont="1" applyFill="1" applyBorder="1" applyAlignment="1" applyProtection="1">
      <alignment horizontal="center"/>
    </xf>
    <xf numFmtId="164" fontId="15" fillId="7" borderId="1" xfId="1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0" fillId="6" borderId="29" xfId="0" applyFill="1" applyBorder="1" applyProtection="1"/>
    <xf numFmtId="0" fontId="0" fillId="6" borderId="3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7" borderId="8" xfId="0" applyFill="1" applyBorder="1" applyProtection="1"/>
    <xf numFmtId="0" fontId="0" fillId="7" borderId="0" xfId="0" applyFill="1" applyProtection="1"/>
    <xf numFmtId="0" fontId="0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0" fillId="7" borderId="0" xfId="0" applyFill="1" applyBorder="1" applyProtection="1"/>
    <xf numFmtId="0" fontId="0" fillId="7" borderId="0" xfId="0" applyFill="1" applyAlignment="1" applyProtection="1">
      <alignment horizontal="center"/>
    </xf>
    <xf numFmtId="0" fontId="0" fillId="3" borderId="8" xfId="0" applyFill="1" applyBorder="1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7" borderId="13" xfId="0" applyFont="1" applyFill="1" applyBorder="1" applyAlignment="1" applyProtection="1">
      <alignment vertical="center"/>
    </xf>
    <xf numFmtId="0" fontId="2" fillId="7" borderId="8" xfId="0" applyFont="1" applyFill="1" applyBorder="1" applyAlignment="1" applyProtection="1">
      <alignment vertical="center"/>
    </xf>
    <xf numFmtId="0" fontId="2" fillId="7" borderId="9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4" xfId="0" applyFill="1" applyBorder="1" applyProtection="1"/>
    <xf numFmtId="0" fontId="1" fillId="8" borderId="17" xfId="0" applyFont="1" applyFill="1" applyBorder="1" applyAlignment="1" applyProtection="1">
      <alignment horizontal="center"/>
    </xf>
    <xf numFmtId="0" fontId="1" fillId="8" borderId="17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/>
    <xf numFmtId="166" fontId="6" fillId="10" borderId="2" xfId="0" applyNumberFormat="1" applyFont="1" applyFill="1" applyBorder="1" applyAlignment="1" applyProtection="1">
      <alignment horizontal="center"/>
    </xf>
    <xf numFmtId="166" fontId="6" fillId="11" borderId="2" xfId="0" applyNumberFormat="1" applyFont="1" applyFill="1" applyBorder="1" applyAlignment="1" applyProtection="1">
      <alignment horizontal="center"/>
    </xf>
    <xf numFmtId="0" fontId="0" fillId="6" borderId="19" xfId="0" applyFill="1" applyBorder="1" applyProtection="1"/>
    <xf numFmtId="0" fontId="0" fillId="6" borderId="20" xfId="0" applyFill="1" applyBorder="1" applyProtection="1"/>
    <xf numFmtId="0" fontId="2" fillId="6" borderId="19" xfId="0" applyFont="1" applyFill="1" applyBorder="1" applyAlignment="1" applyProtection="1">
      <alignment vertical="center"/>
    </xf>
    <xf numFmtId="0" fontId="2" fillId="6" borderId="20" xfId="0" applyFont="1" applyFill="1" applyBorder="1" applyAlignment="1" applyProtection="1">
      <alignment vertical="center"/>
    </xf>
    <xf numFmtId="0" fontId="9" fillId="6" borderId="20" xfId="0" applyFont="1" applyFill="1" applyBorder="1" applyProtection="1"/>
    <xf numFmtId="0" fontId="9" fillId="6" borderId="20" xfId="0" applyFont="1" applyFill="1" applyBorder="1" applyAlignment="1" applyProtection="1">
      <alignment vertical="center"/>
    </xf>
    <xf numFmtId="0" fontId="9" fillId="6" borderId="21" xfId="0" applyFont="1" applyFill="1" applyBorder="1" applyAlignment="1" applyProtection="1">
      <alignment vertical="center"/>
    </xf>
    <xf numFmtId="0" fontId="0" fillId="9" borderId="20" xfId="0" applyFill="1" applyBorder="1" applyAlignment="1" applyProtection="1">
      <alignment horizontal="center"/>
    </xf>
    <xf numFmtId="0" fontId="0" fillId="9" borderId="21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left"/>
    </xf>
    <xf numFmtId="0" fontId="0" fillId="9" borderId="14" xfId="0" applyFill="1" applyBorder="1" applyAlignment="1" applyProtection="1">
      <alignment horizontal="center"/>
    </xf>
    <xf numFmtId="0" fontId="0" fillId="9" borderId="30" xfId="0" applyFill="1" applyBorder="1" applyAlignment="1" applyProtection="1">
      <alignment horizontal="center"/>
    </xf>
    <xf numFmtId="0" fontId="0" fillId="9" borderId="10" xfId="0" applyFill="1" applyBorder="1" applyAlignment="1" applyProtection="1">
      <alignment horizontal="left"/>
    </xf>
    <xf numFmtId="0" fontId="6" fillId="9" borderId="10" xfId="0" applyFont="1" applyFill="1" applyBorder="1" applyAlignment="1" applyProtection="1">
      <alignment horizontal="center"/>
    </xf>
    <xf numFmtId="0" fontId="6" fillId="9" borderId="31" xfId="0" applyFont="1" applyFill="1" applyBorder="1" applyAlignment="1" applyProtection="1">
      <alignment horizontal="center"/>
    </xf>
    <xf numFmtId="14" fontId="3" fillId="12" borderId="17" xfId="0" applyNumberFormat="1" applyFont="1" applyFill="1" applyBorder="1" applyAlignment="1" applyProtection="1">
      <alignment horizontal="center"/>
      <protection locked="0"/>
    </xf>
    <xf numFmtId="169" fontId="3" fillId="12" borderId="17" xfId="0" applyNumberFormat="1" applyFont="1" applyFill="1" applyBorder="1" applyAlignment="1" applyProtection="1">
      <alignment horizontal="center"/>
      <protection locked="0"/>
    </xf>
    <xf numFmtId="0" fontId="2" fillId="12" borderId="0" xfId="0" applyFont="1" applyFill="1" applyBorder="1" applyAlignment="1" applyProtection="1">
      <alignment vertical="center"/>
      <protection locked="0"/>
    </xf>
    <xf numFmtId="164" fontId="3" fillId="13" borderId="17" xfId="1" applyFont="1" applyFill="1" applyBorder="1" applyAlignment="1" applyProtection="1">
      <alignment horizontal="center"/>
      <protection locked="0"/>
    </xf>
    <xf numFmtId="0" fontId="9" fillId="7" borderId="9" xfId="0" applyFont="1" applyFill="1" applyBorder="1" applyAlignment="1" applyProtection="1"/>
    <xf numFmtId="0" fontId="5" fillId="7" borderId="14" xfId="0" applyFont="1" applyFill="1" applyBorder="1" applyAlignment="1" applyProtection="1"/>
    <xf numFmtId="0" fontId="5" fillId="7" borderId="10" xfId="0" applyFont="1" applyFill="1" applyBorder="1" applyAlignment="1" applyProtection="1"/>
    <xf numFmtId="0" fontId="2" fillId="6" borderId="0" xfId="0" applyFont="1" applyFill="1" applyAlignment="1" applyProtection="1"/>
    <xf numFmtId="0" fontId="0" fillId="6" borderId="0" xfId="0" applyFill="1" applyAlignment="1" applyProtection="1">
      <alignment vertical="center"/>
    </xf>
    <xf numFmtId="0" fontId="18" fillId="6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0" fillId="6" borderId="0" xfId="0" applyFont="1" applyFill="1" applyProtection="1"/>
    <xf numFmtId="0" fontId="0" fillId="6" borderId="0" xfId="0" applyNumberFormat="1" applyFont="1" applyFill="1" applyAlignment="1" applyProtection="1">
      <alignment wrapText="1"/>
    </xf>
    <xf numFmtId="0" fontId="0" fillId="0" borderId="0" xfId="0" applyFont="1" applyFill="1" applyProtection="1"/>
    <xf numFmtId="0" fontId="7" fillId="6" borderId="0" xfId="0" applyNumberFormat="1" applyFont="1" applyFill="1" applyAlignment="1" applyProtection="1">
      <alignment wrapText="1"/>
    </xf>
    <xf numFmtId="0" fontId="12" fillId="6" borderId="8" xfId="0" applyFont="1" applyFill="1" applyBorder="1" applyAlignment="1" applyProtection="1">
      <alignment horizontal="center" vertical="center"/>
    </xf>
    <xf numFmtId="0" fontId="0" fillId="6" borderId="0" xfId="0" applyNumberFormat="1" applyFill="1" applyBorder="1" applyAlignment="1" applyProtection="1">
      <alignment horizontal="left" vertical="center" wrapText="1"/>
    </xf>
    <xf numFmtId="0" fontId="7" fillId="6" borderId="0" xfId="0" applyNumberFormat="1" applyFont="1" applyFill="1" applyBorder="1" applyAlignment="1" applyProtection="1">
      <alignment horizontal="left" vertical="center" wrapText="1"/>
    </xf>
    <xf numFmtId="0" fontId="7" fillId="6" borderId="32" xfId="0" applyNumberFormat="1" applyFont="1" applyFill="1" applyBorder="1" applyAlignment="1" applyProtection="1">
      <alignment horizontal="left" vertical="center" wrapText="1"/>
    </xf>
    <xf numFmtId="0" fontId="12" fillId="7" borderId="19" xfId="0" applyFont="1" applyFill="1" applyBorder="1" applyAlignment="1" applyProtection="1">
      <alignment horizontal="center" vertical="center"/>
    </xf>
    <xf numFmtId="0" fontId="0" fillId="6" borderId="0" xfId="0" applyFont="1" applyFill="1" applyAlignment="1" applyProtection="1">
      <alignment wrapText="1"/>
    </xf>
    <xf numFmtId="0" fontId="0" fillId="6" borderId="0" xfId="0" applyFill="1" applyBorder="1" applyAlignment="1" applyProtection="1">
      <alignment horizontal="left" vertical="center" wrapText="1"/>
    </xf>
    <xf numFmtId="0" fontId="0" fillId="6" borderId="0" xfId="0" applyFont="1" applyFill="1" applyBorder="1" applyAlignment="1" applyProtection="1">
      <alignment horizontal="left" vertical="center" wrapText="1"/>
    </xf>
    <xf numFmtId="0" fontId="0" fillId="6" borderId="32" xfId="0" applyFont="1" applyFill="1" applyBorder="1" applyAlignment="1" applyProtection="1">
      <alignment horizontal="left" vertical="center" wrapText="1"/>
    </xf>
    <xf numFmtId="0" fontId="0" fillId="6" borderId="0" xfId="0" applyNumberFormat="1" applyFont="1" applyFill="1" applyAlignment="1" applyProtection="1">
      <alignment horizontal="left" wrapText="1"/>
    </xf>
    <xf numFmtId="0" fontId="0" fillId="6" borderId="0" xfId="0" applyNumberFormat="1" applyFill="1" applyAlignment="1" applyProtection="1">
      <alignment wrapText="1"/>
    </xf>
    <xf numFmtId="0" fontId="0" fillId="12" borderId="31" xfId="0" applyFont="1" applyFill="1" applyBorder="1" applyAlignment="1" applyProtection="1">
      <alignment horizontal="left" vertical="center" wrapText="1"/>
    </xf>
    <xf numFmtId="0" fontId="0" fillId="6" borderId="0" xfId="0" applyFont="1" applyFill="1" applyAlignment="1" applyProtection="1">
      <alignment horizontal="left" wrapText="1"/>
    </xf>
    <xf numFmtId="0" fontId="0" fillId="6" borderId="10" xfId="0" applyFill="1" applyBorder="1" applyAlignment="1" applyProtection="1">
      <alignment horizontal="left" vertical="center" wrapText="1"/>
    </xf>
    <xf numFmtId="0" fontId="0" fillId="6" borderId="31" xfId="0" applyFont="1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left" vertical="center" wrapText="1"/>
    </xf>
    <xf numFmtId="0" fontId="0" fillId="6" borderId="0" xfId="0" applyFont="1" applyFill="1" applyBorder="1" applyAlignment="1" applyProtection="1">
      <alignment wrapText="1"/>
    </xf>
    <xf numFmtId="0" fontId="0" fillId="6" borderId="0" xfId="0" applyFont="1" applyFill="1" applyBorder="1" applyProtection="1"/>
    <xf numFmtId="0" fontId="13" fillId="12" borderId="14" xfId="0" applyFont="1" applyFill="1" applyBorder="1" applyProtection="1"/>
    <xf numFmtId="0" fontId="1" fillId="12" borderId="14" xfId="0" applyFont="1" applyFill="1" applyBorder="1" applyAlignment="1" applyProtection="1">
      <alignment horizontal="left" wrapText="1"/>
    </xf>
    <xf numFmtId="0" fontId="11" fillId="12" borderId="30" xfId="0" applyFont="1" applyFill="1" applyBorder="1" applyProtection="1"/>
    <xf numFmtId="0" fontId="11" fillId="6" borderId="0" xfId="0" applyFont="1" applyFill="1" applyProtection="1"/>
    <xf numFmtId="0" fontId="11" fillId="6" borderId="0" xfId="0" applyFont="1" applyFill="1" applyBorder="1" applyProtection="1"/>
    <xf numFmtId="0" fontId="12" fillId="6" borderId="20" xfId="0" applyFont="1" applyFill="1" applyBorder="1" applyAlignment="1" applyProtection="1"/>
    <xf numFmtId="0" fontId="12" fillId="6" borderId="0" xfId="0" applyFont="1" applyFill="1" applyAlignment="1" applyProtection="1">
      <alignment horizontal="center"/>
    </xf>
    <xf numFmtId="0" fontId="6" fillId="6" borderId="0" xfId="0" applyFont="1" applyFill="1" applyBorder="1" applyAlignment="1" applyProtection="1">
      <alignment horizontal="left" wrapText="1"/>
    </xf>
    <xf numFmtId="0" fontId="12" fillId="0" borderId="0" xfId="0" applyFont="1" applyFill="1" applyAlignment="1" applyProtection="1">
      <alignment horizontal="center"/>
    </xf>
    <xf numFmtId="0" fontId="2" fillId="0" borderId="0" xfId="0" applyFont="1" applyProtection="1"/>
    <xf numFmtId="170" fontId="15" fillId="0" borderId="14" xfId="1" applyNumberForma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9" fillId="6" borderId="0" xfId="0" applyFont="1" applyFill="1" applyProtection="1"/>
    <xf numFmtId="0" fontId="19" fillId="7" borderId="14" xfId="0" applyFont="1" applyFill="1" applyBorder="1" applyAlignment="1" applyProtection="1">
      <alignment vertical="center"/>
    </xf>
    <xf numFmtId="0" fontId="19" fillId="7" borderId="0" xfId="0" applyFont="1" applyFill="1" applyBorder="1" applyAlignment="1" applyProtection="1">
      <alignment vertical="center"/>
    </xf>
    <xf numFmtId="0" fontId="19" fillId="7" borderId="10" xfId="0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vertical="center"/>
    </xf>
    <xf numFmtId="0" fontId="19" fillId="6" borderId="0" xfId="0" applyFont="1" applyFill="1" applyBorder="1" applyProtection="1"/>
    <xf numFmtId="0" fontId="20" fillId="6" borderId="8" xfId="0" applyFont="1" applyFill="1" applyBorder="1" applyAlignment="1" applyProtection="1">
      <alignment vertical="center"/>
    </xf>
    <xf numFmtId="0" fontId="20" fillId="6" borderId="0" xfId="0" applyFont="1" applyFill="1" applyBorder="1" applyAlignment="1" applyProtection="1">
      <alignment vertical="center"/>
    </xf>
    <xf numFmtId="0" fontId="20" fillId="14" borderId="2" xfId="0" applyFont="1" applyFill="1" applyBorder="1" applyAlignment="1" applyProtection="1">
      <alignment horizontal="center"/>
      <protection locked="0"/>
    </xf>
    <xf numFmtId="0" fontId="20" fillId="14" borderId="1" xfId="0" applyFont="1" applyFill="1" applyBorder="1" applyAlignment="1" applyProtection="1">
      <alignment horizontal="center"/>
      <protection locked="0"/>
    </xf>
    <xf numFmtId="0" fontId="19" fillId="3" borderId="18" xfId="0" applyFont="1" applyFill="1" applyBorder="1" applyAlignment="1" applyProtection="1">
      <alignment horizontal="center"/>
    </xf>
    <xf numFmtId="0" fontId="19" fillId="6" borderId="3" xfId="0" applyFont="1" applyFill="1" applyBorder="1" applyProtection="1"/>
    <xf numFmtId="0" fontId="19" fillId="0" borderId="0" xfId="0" applyFont="1" applyProtection="1"/>
    <xf numFmtId="165" fontId="20" fillId="3" borderId="3" xfId="2" applyNumberFormat="1" applyFont="1" applyFill="1" applyBorder="1" applyAlignment="1" applyProtection="1">
      <alignment horizontal="left"/>
    </xf>
    <xf numFmtId="165" fontId="20" fillId="3" borderId="0" xfId="2" applyNumberFormat="1" applyFont="1" applyFill="1" applyBorder="1" applyAlignment="1" applyProtection="1">
      <alignment horizontal="left"/>
    </xf>
    <xf numFmtId="165" fontId="19" fillId="3" borderId="0" xfId="2" applyNumberFormat="1" applyFont="1" applyFill="1" applyBorder="1" applyAlignment="1" applyProtection="1">
      <alignment horizontal="center"/>
    </xf>
    <xf numFmtId="165" fontId="20" fillId="15" borderId="17" xfId="2" applyNumberFormat="1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right"/>
    </xf>
    <xf numFmtId="0" fontId="19" fillId="7" borderId="0" xfId="0" applyFont="1" applyFill="1" applyBorder="1" applyProtection="1"/>
    <xf numFmtId="0" fontId="19" fillId="6" borderId="20" xfId="0" applyFont="1" applyFill="1" applyBorder="1" applyProtection="1"/>
    <xf numFmtId="0" fontId="19" fillId="0" borderId="20" xfId="0" applyFont="1" applyFill="1" applyBorder="1" applyProtection="1"/>
    <xf numFmtId="165" fontId="20" fillId="3" borderId="14" xfId="2" applyNumberFormat="1" applyFont="1" applyFill="1" applyBorder="1" applyAlignment="1" applyProtection="1">
      <alignment horizontal="left"/>
    </xf>
    <xf numFmtId="167" fontId="20" fillId="13" borderId="19" xfId="2" applyNumberFormat="1" applyFont="1" applyFill="1" applyBorder="1" applyAlignment="1" applyProtection="1">
      <alignment horizontal="center"/>
      <protection locked="0"/>
    </xf>
    <xf numFmtId="167" fontId="20" fillId="7" borderId="19" xfId="2" applyNumberFormat="1" applyFont="1" applyFill="1" applyBorder="1" applyAlignment="1" applyProtection="1">
      <alignment horizontal="center"/>
    </xf>
    <xf numFmtId="167" fontId="20" fillId="7" borderId="20" xfId="2" applyNumberFormat="1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21" fillId="6" borderId="0" xfId="0" applyFont="1" applyFill="1" applyBorder="1" applyProtection="1"/>
    <xf numFmtId="0" fontId="21" fillId="0" borderId="0" xfId="0" applyFont="1" applyFill="1" applyProtection="1"/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Fill="1" applyBorder="1" applyProtection="1"/>
    <xf numFmtId="2" fontId="21" fillId="0" borderId="0" xfId="0" applyNumberFormat="1" applyFont="1" applyFill="1" applyProtection="1"/>
    <xf numFmtId="2" fontId="21" fillId="0" borderId="0" xfId="0" applyNumberFormat="1" applyFont="1" applyFill="1" applyBorder="1" applyProtection="1"/>
    <xf numFmtId="0" fontId="21" fillId="6" borderId="8" xfId="0" applyFont="1" applyFill="1" applyBorder="1" applyProtection="1"/>
    <xf numFmtId="0" fontId="22" fillId="6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16" borderId="0" xfId="0" applyFont="1" applyFill="1" applyBorder="1" applyAlignment="1" applyProtection="1">
      <alignment horizontal="center" vertical="center" wrapText="1"/>
    </xf>
    <xf numFmtId="0" fontId="0" fillId="16" borderId="0" xfId="0" applyFill="1" applyProtection="1"/>
    <xf numFmtId="0" fontId="1" fillId="17" borderId="0" xfId="0" applyFont="1" applyFill="1" applyBorder="1" applyAlignment="1" applyProtection="1">
      <alignment horizontal="center" vertical="center" wrapText="1"/>
    </xf>
    <xf numFmtId="0" fontId="1" fillId="17" borderId="0" xfId="0" applyFont="1" applyFill="1" applyProtection="1"/>
    <xf numFmtId="0" fontId="21" fillId="17" borderId="0" xfId="0" applyFont="1" applyFill="1" applyProtection="1"/>
    <xf numFmtId="0" fontId="1" fillId="17" borderId="0" xfId="0" applyFont="1" applyFill="1" applyBorder="1" applyAlignment="1" applyProtection="1">
      <alignment horizontal="center" vertical="center" wrapText="1"/>
    </xf>
    <xf numFmtId="0" fontId="0" fillId="17" borderId="0" xfId="0" applyFont="1" applyFill="1" applyBorder="1" applyProtection="1"/>
    <xf numFmtId="0" fontId="0" fillId="17" borderId="0" xfId="0" applyFont="1" applyFill="1" applyProtection="1"/>
    <xf numFmtId="0" fontId="0" fillId="17" borderId="0" xfId="0" applyFont="1" applyFill="1" applyBorder="1" applyAlignment="1" applyProtection="1">
      <alignment horizontal="right"/>
    </xf>
    <xf numFmtId="169" fontId="0" fillId="17" borderId="0" xfId="0" applyNumberFormat="1" applyFont="1" applyFill="1" applyBorder="1" applyProtection="1"/>
    <xf numFmtId="2" fontId="21" fillId="16" borderId="0" xfId="0" applyNumberFormat="1" applyFont="1" applyFill="1" applyBorder="1" applyAlignment="1" applyProtection="1">
      <alignment horizontal="center"/>
    </xf>
    <xf numFmtId="0" fontId="2" fillId="16" borderId="0" xfId="0" applyFont="1" applyFill="1" applyProtection="1"/>
    <xf numFmtId="0" fontId="1" fillId="17" borderId="0" xfId="0" applyFont="1" applyFill="1" applyBorder="1" applyProtection="1"/>
    <xf numFmtId="0" fontId="1" fillId="16" borderId="33" xfId="0" applyFont="1" applyFill="1" applyBorder="1" applyAlignment="1" applyProtection="1">
      <alignment horizontal="center" wrapText="1"/>
    </xf>
    <xf numFmtId="0" fontId="20" fillId="16" borderId="0" xfId="0" applyFont="1" applyFill="1" applyBorder="1" applyAlignment="1" applyProtection="1">
      <alignment horizontal="left" wrapText="1"/>
    </xf>
    <xf numFmtId="0" fontId="1" fillId="16" borderId="0" xfId="0" applyFont="1" applyFill="1" applyBorder="1" applyAlignment="1" applyProtection="1">
      <alignment horizontal="left" wrapText="1"/>
    </xf>
    <xf numFmtId="0" fontId="1" fillId="17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21" fillId="18" borderId="0" xfId="0" applyFont="1" applyFill="1" applyProtection="1"/>
    <xf numFmtId="0" fontId="21" fillId="18" borderId="0" xfId="0" applyFont="1" applyFill="1" applyBorder="1" applyProtection="1"/>
    <xf numFmtId="0" fontId="19" fillId="18" borderId="0" xfId="0" applyFont="1" applyFill="1" applyProtection="1"/>
    <xf numFmtId="0" fontId="0" fillId="18" borderId="0" xfId="0" applyFill="1" applyProtection="1"/>
    <xf numFmtId="2" fontId="1" fillId="0" borderId="0" xfId="0" applyNumberFormat="1" applyFont="1" applyFill="1" applyBorder="1" applyAlignment="1" applyProtection="1">
      <alignment horizontal="left"/>
    </xf>
    <xf numFmtId="0" fontId="1" fillId="18" borderId="0" xfId="0" applyFont="1" applyFill="1" applyProtection="1"/>
    <xf numFmtId="2" fontId="0" fillId="18" borderId="0" xfId="0" applyNumberFormat="1" applyFont="1" applyFill="1" applyProtection="1"/>
    <xf numFmtId="0" fontId="0" fillId="18" borderId="0" xfId="0" applyFont="1" applyFill="1" applyBorder="1" applyAlignment="1" applyProtection="1">
      <alignment horizontal="left"/>
    </xf>
    <xf numFmtId="0" fontId="21" fillId="18" borderId="0" xfId="0" applyFont="1" applyFill="1" applyProtection="1">
      <protection locked="0"/>
    </xf>
    <xf numFmtId="2" fontId="0" fillId="18" borderId="0" xfId="0" applyNumberFormat="1" applyFont="1" applyFill="1" applyBorder="1" applyAlignment="1" applyProtection="1">
      <alignment horizontal="center"/>
    </xf>
    <xf numFmtId="2" fontId="0" fillId="18" borderId="0" xfId="0" applyNumberFormat="1" applyFont="1" applyFill="1" applyAlignment="1" applyProtection="1">
      <alignment horizontal="left"/>
    </xf>
    <xf numFmtId="0" fontId="0" fillId="18" borderId="0" xfId="0" applyFont="1" applyFill="1" applyProtection="1"/>
    <xf numFmtId="0" fontId="0" fillId="18" borderId="0" xfId="0" quotePrefix="1" applyFont="1" applyFill="1" applyAlignment="1" applyProtection="1">
      <alignment horizontal="left"/>
    </xf>
    <xf numFmtId="2" fontId="1" fillId="18" borderId="0" xfId="1" applyNumberFormat="1" applyFont="1" applyFill="1" applyBorder="1" applyAlignment="1" applyProtection="1">
      <alignment horizontal="center"/>
    </xf>
    <xf numFmtId="0" fontId="0" fillId="18" borderId="0" xfId="0" applyFont="1" applyFill="1" applyAlignment="1" applyProtection="1">
      <alignment horizontal="left"/>
    </xf>
    <xf numFmtId="0" fontId="2" fillId="18" borderId="0" xfId="0" applyFont="1" applyFill="1" applyProtection="1"/>
    <xf numFmtId="0" fontId="0" fillId="18" borderId="0" xfId="0" applyFont="1" applyFill="1" applyBorder="1" applyAlignment="1" applyProtection="1">
      <alignment horizontal="left"/>
      <protection locked="0"/>
    </xf>
    <xf numFmtId="0" fontId="0" fillId="17" borderId="0" xfId="0" applyFont="1" applyFill="1" applyBorder="1" applyProtection="1">
      <protection locked="0"/>
    </xf>
    <xf numFmtId="0" fontId="1" fillId="18" borderId="0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vertical="center"/>
    </xf>
    <xf numFmtId="46" fontId="21" fillId="18" borderId="0" xfId="0" applyNumberFormat="1" applyFont="1" applyFill="1" applyBorder="1" applyProtection="1"/>
    <xf numFmtId="0" fontId="21" fillId="18" borderId="0" xfId="0" applyFont="1" applyFill="1" applyBorder="1" applyAlignment="1" applyProtection="1"/>
    <xf numFmtId="0" fontId="0" fillId="18" borderId="0" xfId="0" applyFont="1" applyFill="1" applyBorder="1" applyProtection="1"/>
    <xf numFmtId="0" fontId="0" fillId="18" borderId="0" xfId="0" applyFont="1" applyFill="1" applyBorder="1" applyProtection="1">
      <protection locked="0"/>
    </xf>
    <xf numFmtId="2" fontId="0" fillId="18" borderId="0" xfId="0" applyNumberFormat="1" applyFont="1" applyFill="1" applyBorder="1" applyProtection="1"/>
    <xf numFmtId="0" fontId="1" fillId="18" borderId="0" xfId="0" applyFont="1" applyFill="1" applyBorder="1" applyAlignment="1" applyProtection="1">
      <alignment horizontal="left" wrapText="1"/>
    </xf>
    <xf numFmtId="169" fontId="0" fillId="18" borderId="0" xfId="0" applyNumberFormat="1" applyFont="1" applyFill="1" applyBorder="1" applyAlignment="1" applyProtection="1">
      <alignment horizontal="center"/>
      <protection hidden="1"/>
    </xf>
    <xf numFmtId="2" fontId="15" fillId="18" borderId="0" xfId="2" applyNumberFormat="1" applyFont="1" applyFill="1" applyBorder="1" applyAlignment="1" applyProtection="1">
      <alignment horizontal="center"/>
      <protection hidden="1"/>
    </xf>
    <xf numFmtId="2" fontId="0" fillId="17" borderId="0" xfId="0" applyNumberFormat="1" applyFont="1" applyFill="1" applyBorder="1" applyAlignment="1" applyProtection="1">
      <alignment horizontal="center"/>
    </xf>
    <xf numFmtId="2" fontId="15" fillId="17" borderId="0" xfId="1" applyNumberFormat="1" applyFont="1" applyFill="1" applyBorder="1" applyAlignment="1" applyProtection="1">
      <alignment horizontal="center"/>
      <protection hidden="1"/>
    </xf>
    <xf numFmtId="2" fontId="15" fillId="17" borderId="0" xfId="1" applyNumberFormat="1" applyFont="1" applyFill="1" applyBorder="1" applyAlignment="1" applyProtection="1">
      <alignment horizontal="center"/>
    </xf>
    <xf numFmtId="2" fontId="0" fillId="17" borderId="0" xfId="0" applyNumberFormat="1" applyFont="1" applyFill="1" applyAlignment="1" applyProtection="1">
      <alignment horizontal="center"/>
    </xf>
    <xf numFmtId="2" fontId="15" fillId="17" borderId="0" xfId="2" applyNumberFormat="1" applyFont="1" applyFill="1" applyBorder="1" applyAlignment="1" applyProtection="1">
      <alignment horizontal="center"/>
    </xf>
    <xf numFmtId="2" fontId="15" fillId="19" borderId="0" xfId="1" applyNumberFormat="1" applyFont="1" applyFill="1" applyBorder="1" applyAlignment="1" applyProtection="1">
      <alignment horizontal="center"/>
      <protection hidden="1"/>
    </xf>
    <xf numFmtId="2" fontId="15" fillId="19" borderId="0" xfId="1" applyNumberFormat="1" applyFont="1" applyFill="1" applyBorder="1" applyAlignment="1" applyProtection="1">
      <alignment horizontal="center"/>
    </xf>
    <xf numFmtId="2" fontId="0" fillId="19" borderId="0" xfId="0" applyNumberFormat="1" applyFont="1" applyFill="1" applyAlignment="1" applyProtection="1">
      <alignment horizontal="center"/>
    </xf>
    <xf numFmtId="2" fontId="0" fillId="19" borderId="0" xfId="0" applyNumberFormat="1" applyFont="1" applyFill="1" applyBorder="1" applyAlignment="1" applyProtection="1">
      <alignment horizontal="center"/>
    </xf>
    <xf numFmtId="2" fontId="15" fillId="19" borderId="0" xfId="2" applyNumberFormat="1" applyFont="1" applyFill="1" applyBorder="1" applyAlignment="1" applyProtection="1">
      <alignment horizontal="center"/>
    </xf>
    <xf numFmtId="165" fontId="15" fillId="17" borderId="0" xfId="2" applyNumberFormat="1" applyFont="1" applyFill="1" applyBorder="1" applyAlignment="1" applyProtection="1">
      <alignment horizontal="center"/>
      <protection hidden="1"/>
    </xf>
    <xf numFmtId="2" fontId="15" fillId="17" borderId="0" xfId="2" applyNumberFormat="1" applyFont="1" applyFill="1" applyBorder="1" applyAlignment="1" applyProtection="1">
      <alignment horizontal="center"/>
      <protection hidden="1"/>
    </xf>
    <xf numFmtId="165" fontId="15" fillId="19" borderId="0" xfId="2" applyNumberFormat="1" applyFont="1" applyFill="1" applyBorder="1" applyAlignment="1" applyProtection="1">
      <alignment horizontal="center"/>
      <protection hidden="1"/>
    </xf>
    <xf numFmtId="165" fontId="15" fillId="20" borderId="0" xfId="2" applyNumberFormat="1" applyFont="1" applyFill="1" applyBorder="1" applyAlignment="1" applyProtection="1">
      <alignment horizontal="center"/>
      <protection hidden="1"/>
    </xf>
    <xf numFmtId="2" fontId="15" fillId="20" borderId="0" xfId="2" applyNumberFormat="1" applyFont="1" applyFill="1" applyBorder="1" applyAlignment="1" applyProtection="1">
      <alignment horizontal="center"/>
      <protection hidden="1"/>
    </xf>
    <xf numFmtId="2" fontId="15" fillId="20" borderId="0" xfId="2" applyNumberFormat="1" applyFont="1" applyFill="1" applyBorder="1" applyAlignment="1" applyProtection="1">
      <alignment horizontal="center"/>
    </xf>
    <xf numFmtId="2" fontId="0" fillId="20" borderId="0" xfId="0" applyNumberFormat="1" applyFont="1" applyFill="1" applyBorder="1" applyAlignment="1" applyProtection="1">
      <alignment horizontal="center"/>
    </xf>
    <xf numFmtId="46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/>
    <xf numFmtId="0" fontId="21" fillId="16" borderId="0" xfId="2" applyNumberFormat="1" applyFont="1" applyFill="1" applyBorder="1" applyAlignment="1" applyProtection="1">
      <alignment horizontal="center"/>
      <protection hidden="1"/>
    </xf>
    <xf numFmtId="0" fontId="21" fillId="16" borderId="0" xfId="2" applyNumberFormat="1" applyFont="1" applyFill="1" applyBorder="1" applyAlignment="1" applyProtection="1">
      <alignment horizontal="center"/>
    </xf>
    <xf numFmtId="0" fontId="0" fillId="17" borderId="34" xfId="0" applyFont="1" applyFill="1" applyBorder="1" applyAlignment="1" applyProtection="1">
      <alignment horizontal="right"/>
    </xf>
    <xf numFmtId="0" fontId="0" fillId="17" borderId="34" xfId="0" applyFont="1" applyFill="1" applyBorder="1" applyProtection="1"/>
    <xf numFmtId="164" fontId="15" fillId="17" borderId="34" xfId="1" applyFont="1" applyFill="1" applyBorder="1" applyAlignment="1" applyProtection="1">
      <alignment horizontal="center"/>
    </xf>
    <xf numFmtId="164" fontId="0" fillId="17" borderId="34" xfId="0" applyNumberFormat="1" applyFont="1" applyFill="1" applyBorder="1" applyProtection="1"/>
    <xf numFmtId="0" fontId="0" fillId="18" borderId="34" xfId="0" applyFont="1" applyFill="1" applyBorder="1" applyProtection="1"/>
    <xf numFmtId="164" fontId="15" fillId="18" borderId="34" xfId="1" applyFont="1" applyFill="1" applyBorder="1" applyAlignment="1" applyProtection="1">
      <alignment horizontal="center"/>
    </xf>
    <xf numFmtId="164" fontId="0" fillId="18" borderId="34" xfId="0" applyNumberFormat="1" applyFont="1" applyFill="1" applyBorder="1" applyProtection="1"/>
    <xf numFmtId="169" fontId="0" fillId="17" borderId="34" xfId="0" applyNumberFormat="1" applyFont="1" applyFill="1" applyBorder="1" applyProtection="1"/>
    <xf numFmtId="46" fontId="0" fillId="17" borderId="34" xfId="0" applyNumberFormat="1" applyFont="1" applyFill="1" applyBorder="1" applyProtection="1"/>
    <xf numFmtId="169" fontId="0" fillId="17" borderId="34" xfId="0" applyNumberFormat="1" applyFont="1" applyFill="1" applyBorder="1" applyProtection="1">
      <protection hidden="1"/>
    </xf>
    <xf numFmtId="0" fontId="1" fillId="18" borderId="34" xfId="0" applyFont="1" applyFill="1" applyBorder="1" applyAlignment="1" applyProtection="1">
      <alignment vertical="center" wrapText="1"/>
    </xf>
    <xf numFmtId="46" fontId="0" fillId="18" borderId="34" xfId="0" applyNumberFormat="1" applyFont="1" applyFill="1" applyBorder="1" applyProtection="1"/>
    <xf numFmtId="0" fontId="1" fillId="17" borderId="0" xfId="0" applyFont="1" applyFill="1" applyBorder="1" applyAlignment="1" applyProtection="1">
      <alignment horizontal="right"/>
    </xf>
    <xf numFmtId="0" fontId="1" fillId="18" borderId="0" xfId="0" applyFont="1" applyFill="1" applyBorder="1" applyAlignment="1" applyProtection="1">
      <alignment horizontal="left" vertical="center" wrapText="1"/>
    </xf>
    <xf numFmtId="2" fontId="0" fillId="18" borderId="0" xfId="0" applyNumberFormat="1" applyFont="1" applyFill="1" applyBorder="1" applyAlignment="1" applyProtection="1">
      <alignment horizontal="right"/>
    </xf>
    <xf numFmtId="0" fontId="0" fillId="18" borderId="0" xfId="0" applyFont="1" applyFill="1" applyBorder="1" applyAlignment="1" applyProtection="1">
      <alignment horizontal="right"/>
    </xf>
    <xf numFmtId="46" fontId="0" fillId="18" borderId="0" xfId="0" applyNumberFormat="1" applyFont="1" applyFill="1" applyBorder="1" applyAlignment="1" applyProtection="1">
      <alignment horizontal="right" vertical="center" wrapText="1"/>
    </xf>
    <xf numFmtId="0" fontId="0" fillId="18" borderId="0" xfId="0" applyFont="1" applyFill="1" applyBorder="1" applyAlignment="1" applyProtection="1">
      <alignment horizontal="right" vertical="center" wrapText="1"/>
    </xf>
    <xf numFmtId="0" fontId="1" fillId="18" borderId="34" xfId="0" applyFont="1" applyFill="1" applyBorder="1" applyAlignment="1" applyProtection="1">
      <alignment horizontal="center"/>
    </xf>
    <xf numFmtId="0" fontId="1" fillId="18" borderId="34" xfId="0" applyFont="1" applyFill="1" applyBorder="1" applyAlignment="1" applyProtection="1">
      <alignment horizontal="center" vertical="center" wrapText="1"/>
    </xf>
    <xf numFmtId="0" fontId="1" fillId="17" borderId="34" xfId="0" applyFont="1" applyFill="1" applyBorder="1" applyAlignment="1" applyProtection="1">
      <alignment horizontal="center"/>
    </xf>
    <xf numFmtId="0" fontId="15" fillId="16" borderId="0" xfId="2" applyNumberFormat="1" applyFont="1" applyFill="1" applyBorder="1" applyAlignment="1" applyProtection="1">
      <alignment horizontal="center"/>
      <protection hidden="1"/>
    </xf>
    <xf numFmtId="0" fontId="0" fillId="16" borderId="0" xfId="0" applyFont="1" applyFill="1" applyProtection="1"/>
    <xf numFmtId="0" fontId="1" fillId="16" borderId="0" xfId="0" applyFont="1" applyFill="1" applyBorder="1" applyAlignment="1" applyProtection="1">
      <alignment vertical="center"/>
    </xf>
    <xf numFmtId="0" fontId="0" fillId="17" borderId="0" xfId="0" applyFill="1" applyAlignment="1" applyProtection="1">
      <alignment horizontal="right"/>
    </xf>
    <xf numFmtId="0" fontId="1" fillId="17" borderId="0" xfId="0" applyFont="1" applyFill="1" applyBorder="1" applyAlignment="1" applyProtection="1">
      <alignment vertical="center"/>
    </xf>
    <xf numFmtId="0" fontId="0" fillId="17" borderId="0" xfId="0" applyFill="1" applyProtection="1"/>
    <xf numFmtId="0" fontId="21" fillId="17" borderId="0" xfId="0" applyFont="1" applyFill="1" applyBorder="1" applyProtection="1"/>
    <xf numFmtId="0" fontId="1" fillId="18" borderId="0" xfId="2" applyNumberFormat="1" applyFont="1" applyFill="1" applyBorder="1" applyAlignment="1" applyProtection="1">
      <alignment horizontal="center"/>
      <protection hidden="1"/>
    </xf>
    <xf numFmtId="2" fontId="15" fillId="18" borderId="0" xfId="2" applyNumberFormat="1" applyFont="1" applyFill="1" applyBorder="1" applyAlignment="1" applyProtection="1">
      <alignment horizontal="right"/>
      <protection hidden="1"/>
    </xf>
    <xf numFmtId="0" fontId="0" fillId="18" borderId="0" xfId="0" applyFill="1" applyAlignment="1" applyProtection="1">
      <alignment horizontal="right"/>
    </xf>
    <xf numFmtId="164" fontId="15" fillId="18" borderId="34" xfId="2" applyFill="1" applyBorder="1" applyProtection="1"/>
    <xf numFmtId="164" fontId="1" fillId="18" borderId="34" xfId="2" applyFont="1" applyFill="1" applyBorder="1" applyAlignment="1" applyProtection="1">
      <alignment vertical="center" wrapText="1"/>
    </xf>
    <xf numFmtId="0" fontId="0" fillId="18" borderId="0" xfId="0" applyNumberFormat="1" applyFont="1" applyFill="1" applyProtection="1"/>
    <xf numFmtId="0" fontId="0" fillId="18" borderId="0" xfId="0" applyNumberFormat="1" applyFont="1" applyFill="1" applyBorder="1" applyProtection="1"/>
    <xf numFmtId="2" fontId="0" fillId="17" borderId="0" xfId="0" applyNumberFormat="1" applyFill="1" applyProtection="1"/>
    <xf numFmtId="0" fontId="1" fillId="17" borderId="0" xfId="0" applyNumberFormat="1" applyFont="1" applyFill="1" applyProtection="1"/>
    <xf numFmtId="2" fontId="0" fillId="17" borderId="0" xfId="0" applyNumberFormat="1" applyFont="1" applyFill="1" applyProtection="1"/>
    <xf numFmtId="0" fontId="0" fillId="17" borderId="0" xfId="0" applyNumberFormat="1" applyFont="1" applyFill="1" applyProtection="1"/>
    <xf numFmtId="171" fontId="1" fillId="17" borderId="0" xfId="0" applyNumberFormat="1" applyFont="1" applyFill="1" applyProtection="1"/>
    <xf numFmtId="0" fontId="1" fillId="18" borderId="0" xfId="0" applyFont="1" applyFill="1" applyBorder="1" applyAlignment="1" applyProtection="1"/>
    <xf numFmtId="165" fontId="0" fillId="17" borderId="0" xfId="0" applyNumberFormat="1" applyFill="1" applyProtection="1"/>
    <xf numFmtId="0" fontId="1" fillId="18" borderId="32" xfId="0" applyFont="1" applyFill="1" applyBorder="1" applyAlignment="1" applyProtection="1">
      <alignment vertical="center"/>
    </xf>
    <xf numFmtId="0" fontId="1" fillId="17" borderId="0" xfId="0" applyFont="1" applyFill="1" applyBorder="1" applyAlignment="1" applyProtection="1">
      <alignment horizontal="right" vertical="center" wrapText="1"/>
    </xf>
    <xf numFmtId="0" fontId="1" fillId="18" borderId="0" xfId="0" applyNumberFormat="1" applyFont="1" applyFill="1" applyProtection="1"/>
    <xf numFmtId="0" fontId="21" fillId="17" borderId="0" xfId="2" applyNumberFormat="1" applyFont="1" applyFill="1" applyBorder="1" applyAlignment="1" applyProtection="1">
      <alignment horizontal="center"/>
      <protection hidden="1"/>
    </xf>
    <xf numFmtId="2" fontId="21" fillId="17" borderId="0" xfId="0" applyNumberFormat="1" applyFont="1" applyFill="1" applyBorder="1" applyAlignment="1" applyProtection="1">
      <alignment horizontal="center"/>
    </xf>
    <xf numFmtId="0" fontId="1" fillId="17" borderId="0" xfId="0" applyFont="1" applyFill="1" applyAlignment="1" applyProtection="1">
      <alignment horizontal="left"/>
    </xf>
    <xf numFmtId="0" fontId="15" fillId="18" borderId="0" xfId="0" applyFont="1" applyFill="1" applyBorder="1" applyAlignment="1" applyProtection="1"/>
    <xf numFmtId="2" fontId="15" fillId="17" borderId="0" xfId="0" applyNumberFormat="1" applyFont="1" applyFill="1" applyProtection="1"/>
    <xf numFmtId="0" fontId="15" fillId="17" borderId="0" xfId="0" applyNumberFormat="1" applyFont="1" applyFill="1" applyProtection="1"/>
    <xf numFmtId="0" fontId="15" fillId="17" borderId="0" xfId="0" applyFont="1" applyFill="1" applyProtection="1"/>
    <xf numFmtId="0" fontId="15" fillId="17" borderId="0" xfId="0" applyFont="1" applyFill="1" applyBorder="1" applyAlignment="1" applyProtection="1"/>
    <xf numFmtId="0" fontId="19" fillId="16" borderId="0" xfId="0" applyFont="1" applyFill="1" applyBorder="1" applyAlignment="1" applyProtection="1">
      <alignment vertical="center"/>
    </xf>
    <xf numFmtId="0" fontId="19" fillId="16" borderId="0" xfId="0" applyFont="1" applyFill="1" applyBorder="1" applyProtection="1"/>
    <xf numFmtId="0" fontId="19" fillId="16" borderId="0" xfId="0" applyFont="1" applyFill="1" applyBorder="1" applyAlignment="1" applyProtection="1">
      <alignment horizontal="left" vertical="center"/>
    </xf>
    <xf numFmtId="0" fontId="0" fillId="16" borderId="33" xfId="0" applyFont="1" applyFill="1" applyBorder="1" applyAlignment="1" applyProtection="1">
      <alignment horizontal="left" wrapText="1"/>
    </xf>
    <xf numFmtId="164" fontId="1" fillId="16" borderId="33" xfId="1" applyFont="1" applyFill="1" applyBorder="1" applyAlignment="1" applyProtection="1">
      <alignment vertical="center"/>
    </xf>
    <xf numFmtId="164" fontId="3" fillId="12" borderId="36" xfId="1" applyFont="1" applyFill="1" applyBorder="1" applyAlignment="1" applyProtection="1">
      <alignment vertical="center"/>
      <protection locked="0"/>
    </xf>
    <xf numFmtId="164" fontId="3" fillId="12" borderId="1" xfId="1" applyFont="1" applyFill="1" applyBorder="1" applyAlignment="1" applyProtection="1">
      <alignment vertical="center"/>
      <protection locked="0"/>
    </xf>
    <xf numFmtId="0" fontId="1" fillId="16" borderId="0" xfId="0" applyFont="1" applyFill="1" applyBorder="1" applyAlignment="1" applyProtection="1">
      <alignment horizontal="left" vertical="center" wrapText="1"/>
    </xf>
    <xf numFmtId="164" fontId="3" fillId="16" borderId="0" xfId="1" applyFont="1" applyFill="1" applyBorder="1" applyAlignment="1" applyProtection="1">
      <alignment vertical="center"/>
      <protection locked="0"/>
    </xf>
    <xf numFmtId="0" fontId="1" fillId="17" borderId="0" xfId="0" applyFont="1" applyFill="1" applyBorder="1" applyAlignment="1" applyProtection="1">
      <alignment horizontal="center" vertical="center" wrapText="1"/>
    </xf>
    <xf numFmtId="168" fontId="21" fillId="16" borderId="0" xfId="1" applyNumberFormat="1" applyFont="1" applyFill="1" applyBorder="1" applyAlignment="1" applyProtection="1">
      <alignment horizontal="center"/>
    </xf>
    <xf numFmtId="0" fontId="21" fillId="16" borderId="0" xfId="0" applyFont="1" applyFill="1" applyBorder="1" applyAlignment="1" applyProtection="1">
      <alignment horizontal="left"/>
    </xf>
    <xf numFmtId="0" fontId="22" fillId="16" borderId="0" xfId="0" applyFont="1" applyFill="1" applyBorder="1" applyAlignment="1" applyProtection="1">
      <alignment horizontal="left" wrapText="1"/>
    </xf>
    <xf numFmtId="0" fontId="1" fillId="17" borderId="0" xfId="0" applyFont="1" applyFill="1" applyBorder="1" applyAlignment="1" applyProtection="1">
      <alignment horizontal="center"/>
    </xf>
    <xf numFmtId="0" fontId="0" fillId="18" borderId="0" xfId="0" applyFill="1" applyAlignment="1" applyProtection="1">
      <alignment horizontal="center"/>
    </xf>
    <xf numFmtId="0" fontId="1" fillId="18" borderId="0" xfId="0" applyFont="1" applyFill="1" applyBorder="1" applyAlignment="1" applyProtection="1">
      <alignment horizontal="center" vertical="center"/>
    </xf>
    <xf numFmtId="164" fontId="15" fillId="18" borderId="0" xfId="2" applyFill="1" applyBorder="1" applyAlignment="1" applyProtection="1">
      <alignment horizontal="center"/>
    </xf>
    <xf numFmtId="0" fontId="0" fillId="21" borderId="1" xfId="0" applyFont="1" applyFill="1" applyBorder="1" applyAlignment="1" applyProtection="1">
      <alignment horizontal="center"/>
    </xf>
    <xf numFmtId="164" fontId="0" fillId="21" borderId="1" xfId="2" applyFont="1" applyFill="1" applyBorder="1" applyAlignment="1" applyProtection="1">
      <alignment horizontal="center"/>
    </xf>
    <xf numFmtId="164" fontId="5" fillId="22" borderId="15" xfId="2" applyFont="1" applyFill="1" applyBorder="1" applyAlignment="1" applyProtection="1">
      <alignment horizontal="center"/>
    </xf>
    <xf numFmtId="166" fontId="6" fillId="23" borderId="2" xfId="0" applyNumberFormat="1" applyFont="1" applyFill="1" applyBorder="1" applyAlignment="1" applyProtection="1">
      <alignment horizontal="center"/>
    </xf>
    <xf numFmtId="166" fontId="6" fillId="24" borderId="2" xfId="0" applyNumberFormat="1" applyFont="1" applyFill="1" applyBorder="1" applyAlignment="1" applyProtection="1">
      <alignment horizontal="center"/>
    </xf>
    <xf numFmtId="166" fontId="0" fillId="25" borderId="2" xfId="0" applyNumberFormat="1" applyFont="1" applyFill="1" applyBorder="1" applyAlignment="1" applyProtection="1">
      <alignment horizontal="center"/>
    </xf>
    <xf numFmtId="164" fontId="15" fillId="18" borderId="1" xfId="1" applyFill="1" applyBorder="1" applyAlignment="1" applyProtection="1">
      <alignment horizontal="center"/>
    </xf>
    <xf numFmtId="164" fontId="15" fillId="22" borderId="4" xfId="1" applyFill="1" applyBorder="1" applyAlignment="1" applyProtection="1">
      <alignment horizontal="center"/>
    </xf>
    <xf numFmtId="169" fontId="6" fillId="18" borderId="1" xfId="0" applyNumberFormat="1" applyFont="1" applyFill="1" applyBorder="1" applyAlignment="1" applyProtection="1">
      <alignment horizontal="center"/>
    </xf>
    <xf numFmtId="0" fontId="0" fillId="25" borderId="27" xfId="0" applyFill="1" applyBorder="1" applyAlignment="1" applyProtection="1">
      <alignment horizontal="center"/>
    </xf>
    <xf numFmtId="0" fontId="0" fillId="25" borderId="18" xfId="0" applyFill="1" applyBorder="1" applyAlignment="1" applyProtection="1">
      <alignment horizontal="center"/>
    </xf>
    <xf numFmtId="164" fontId="23" fillId="22" borderId="35" xfId="1" applyFont="1" applyFill="1" applyBorder="1" applyAlignment="1" applyProtection="1">
      <alignment horizontal="center"/>
    </xf>
    <xf numFmtId="0" fontId="0" fillId="25" borderId="0" xfId="0" applyFill="1" applyBorder="1" applyAlignment="1" applyProtection="1"/>
    <xf numFmtId="0" fontId="0" fillId="25" borderId="0" xfId="0" applyFont="1" applyFill="1" applyBorder="1" applyAlignment="1" applyProtection="1"/>
    <xf numFmtId="164" fontId="15" fillId="25" borderId="0" xfId="1" applyFill="1" applyBorder="1" applyAlignment="1" applyProtection="1">
      <alignment horizontal="center"/>
    </xf>
    <xf numFmtId="0" fontId="0" fillId="18" borderId="17" xfId="0" applyFont="1" applyFill="1" applyBorder="1" applyAlignment="1" applyProtection="1"/>
    <xf numFmtId="0" fontId="24" fillId="0" borderId="0" xfId="0" applyFont="1" applyFill="1" applyProtection="1"/>
    <xf numFmtId="0" fontId="24" fillId="0" borderId="0" xfId="0" applyFont="1" applyFill="1" applyBorder="1" applyProtection="1"/>
    <xf numFmtId="0" fontId="24" fillId="0" borderId="0" xfId="0" applyFont="1" applyProtection="1"/>
    <xf numFmtId="0" fontId="25" fillId="0" borderId="0" xfId="0" applyFont="1" applyFill="1" applyProtection="1"/>
    <xf numFmtId="14" fontId="24" fillId="0" borderId="0" xfId="0" applyNumberFormat="1" applyFont="1" applyFill="1" applyProtection="1"/>
    <xf numFmtId="2" fontId="24" fillId="0" borderId="0" xfId="0" applyNumberFormat="1" applyFont="1" applyFill="1" applyProtection="1"/>
    <xf numFmtId="0" fontId="24" fillId="16" borderId="0" xfId="0" applyFont="1" applyFill="1" applyProtection="1"/>
    <xf numFmtId="0" fontId="26" fillId="16" borderId="0" xfId="0" applyFont="1" applyFill="1" applyBorder="1" applyAlignment="1" applyProtection="1">
      <alignment vertical="center"/>
    </xf>
    <xf numFmtId="0" fontId="24" fillId="16" borderId="0" xfId="0" applyFont="1" applyFill="1" applyBorder="1" applyProtection="1"/>
    <xf numFmtId="0" fontId="24" fillId="16" borderId="0" xfId="0" applyNumberFormat="1" applyFont="1" applyFill="1" applyProtection="1"/>
    <xf numFmtId="2" fontId="24" fillId="16" borderId="0" xfId="0" applyNumberFormat="1" applyFont="1" applyFill="1" applyProtection="1"/>
    <xf numFmtId="0" fontId="24" fillId="16" borderId="0" xfId="2" applyNumberFormat="1" applyFont="1" applyFill="1" applyBorder="1" applyAlignment="1" applyProtection="1">
      <alignment horizontal="center"/>
      <protection hidden="1"/>
    </xf>
    <xf numFmtId="0" fontId="24" fillId="16" borderId="0" xfId="0" applyNumberFormat="1" applyFont="1" applyFill="1" applyBorder="1" applyProtection="1"/>
    <xf numFmtId="171" fontId="24" fillId="0" borderId="0" xfId="0" applyNumberFormat="1" applyFont="1" applyFill="1" applyBorder="1" applyProtection="1"/>
    <xf numFmtId="0" fontId="24" fillId="0" borderId="0" xfId="0" applyNumberFormat="1" applyFont="1" applyFill="1" applyBorder="1" applyProtection="1"/>
    <xf numFmtId="0" fontId="0" fillId="16" borderId="0" xfId="0" applyFill="1"/>
    <xf numFmtId="0" fontId="27" fillId="16" borderId="0" xfId="3" applyFill="1" applyAlignment="1" applyProtection="1"/>
    <xf numFmtId="0" fontId="1" fillId="16" borderId="0" xfId="0" applyFont="1" applyFill="1"/>
    <xf numFmtId="0" fontId="1" fillId="26" borderId="0" xfId="0" applyFont="1" applyFill="1" applyProtection="1"/>
    <xf numFmtId="0" fontId="0" fillId="26" borderId="0" xfId="0" applyFill="1" applyProtection="1"/>
    <xf numFmtId="9" fontId="2" fillId="16" borderId="0" xfId="0" applyNumberFormat="1" applyFont="1" applyFill="1" applyProtection="1"/>
    <xf numFmtId="9" fontId="21" fillId="17" borderId="0" xfId="4" applyFont="1" applyFill="1" applyBorder="1" applyAlignment="1" applyProtection="1">
      <alignment horizontal="center"/>
    </xf>
    <xf numFmtId="173" fontId="15" fillId="17" borderId="0" xfId="2" applyNumberFormat="1" applyFill="1" applyProtection="1"/>
    <xf numFmtId="175" fontId="0" fillId="17" borderId="0" xfId="0" applyNumberFormat="1" applyFont="1" applyFill="1" applyBorder="1" applyAlignment="1" applyProtection="1">
      <alignment horizontal="center"/>
    </xf>
    <xf numFmtId="176" fontId="1" fillId="17" borderId="0" xfId="0" applyNumberFormat="1" applyFont="1" applyFill="1" applyProtection="1"/>
    <xf numFmtId="173" fontId="15" fillId="22" borderId="4" xfId="1" applyNumberFormat="1" applyFill="1" applyBorder="1" applyAlignment="1" applyProtection="1">
      <alignment horizontal="center"/>
    </xf>
    <xf numFmtId="164" fontId="15" fillId="18" borderId="34" xfId="2" applyNumberFormat="1" applyFill="1" applyBorder="1" applyProtection="1"/>
    <xf numFmtId="172" fontId="1" fillId="17" borderId="0" xfId="2" applyNumberFormat="1" applyFont="1" applyFill="1" applyProtection="1"/>
    <xf numFmtId="164" fontId="0" fillId="5" borderId="7" xfId="1" applyFont="1" applyFill="1" applyBorder="1" applyAlignment="1" applyProtection="1">
      <alignment horizontal="center"/>
    </xf>
    <xf numFmtId="165" fontId="0" fillId="3" borderId="0" xfId="2" applyNumberFormat="1" applyFont="1" applyFill="1" applyBorder="1" applyAlignment="1" applyProtection="1">
      <alignment horizontal="center"/>
    </xf>
    <xf numFmtId="0" fontId="1" fillId="16" borderId="0" xfId="0" applyFont="1" applyFill="1" applyBorder="1" applyAlignment="1" applyProtection="1">
      <alignment horizontal="left" wrapText="1"/>
    </xf>
    <xf numFmtId="0" fontId="1" fillId="6" borderId="0" xfId="0" applyFont="1" applyFill="1" applyBorder="1" applyAlignment="1" applyProtection="1">
      <alignment vertical="center"/>
    </xf>
    <xf numFmtId="0" fontId="0" fillId="16" borderId="0" xfId="0" applyFont="1" applyFill="1" applyBorder="1" applyProtection="1"/>
    <xf numFmtId="0" fontId="0" fillId="0" borderId="0" xfId="0" applyFont="1" applyProtection="1"/>
    <xf numFmtId="174" fontId="0" fillId="0" borderId="0" xfId="0" applyNumberFormat="1" applyFont="1" applyProtection="1"/>
    <xf numFmtId="0" fontId="0" fillId="3" borderId="24" xfId="0" applyFont="1" applyFill="1" applyBorder="1" applyAlignment="1" applyProtection="1"/>
    <xf numFmtId="0" fontId="0" fillId="3" borderId="26" xfId="0" applyFont="1" applyFill="1" applyBorder="1" applyAlignment="1" applyProtection="1"/>
    <xf numFmtId="0" fontId="0" fillId="3" borderId="28" xfId="0" applyFont="1" applyFill="1" applyBorder="1" applyAlignment="1" applyProtection="1"/>
    <xf numFmtId="0" fontId="0" fillId="6" borderId="3" xfId="0" applyFont="1" applyFill="1" applyBorder="1" applyProtection="1"/>
    <xf numFmtId="0" fontId="0" fillId="3" borderId="20" xfId="0" applyFont="1" applyFill="1" applyBorder="1" applyProtection="1"/>
    <xf numFmtId="0" fontId="0" fillId="6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3" borderId="0" xfId="0" applyFont="1" applyFill="1" applyBorder="1" applyProtection="1"/>
    <xf numFmtId="0" fontId="0" fillId="3" borderId="10" xfId="0" applyFont="1" applyFill="1" applyBorder="1" applyProtection="1"/>
    <xf numFmtId="0" fontId="0" fillId="6" borderId="20" xfId="0" applyFont="1" applyFill="1" applyBorder="1" applyProtection="1"/>
    <xf numFmtId="168" fontId="0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3" borderId="25" xfId="0" applyFont="1" applyFill="1" applyBorder="1" applyProtection="1"/>
    <xf numFmtId="164" fontId="1" fillId="4" borderId="15" xfId="2" applyFont="1" applyFill="1" applyBorder="1" applyAlignment="1" applyProtection="1">
      <alignment horizontal="center"/>
    </xf>
    <xf numFmtId="164" fontId="0" fillId="4" borderId="4" xfId="1" applyFont="1" applyFill="1" applyBorder="1" applyAlignment="1" applyProtection="1">
      <alignment horizontal="center"/>
    </xf>
    <xf numFmtId="164" fontId="1" fillId="4" borderId="4" xfId="1" applyNumberFormat="1" applyFont="1" applyFill="1" applyBorder="1" applyAlignment="1" applyProtection="1">
      <alignment horizontal="center"/>
    </xf>
    <xf numFmtId="164" fontId="0" fillId="6" borderId="21" xfId="1" applyFont="1" applyFill="1" applyBorder="1" applyProtection="1"/>
    <xf numFmtId="164" fontId="0" fillId="4" borderId="5" xfId="1" applyFont="1" applyFill="1" applyBorder="1" applyAlignment="1" applyProtection="1">
      <alignment horizontal="center"/>
    </xf>
    <xf numFmtId="164" fontId="0" fillId="5" borderId="4" xfId="1" applyFont="1" applyFill="1" applyBorder="1" applyAlignment="1" applyProtection="1">
      <alignment horizontal="center"/>
    </xf>
    <xf numFmtId="164" fontId="1" fillId="4" borderId="4" xfId="1" applyFont="1" applyFill="1" applyBorder="1" applyAlignment="1" applyProtection="1">
      <alignment horizontal="center"/>
    </xf>
    <xf numFmtId="164" fontId="0" fillId="4" borderId="16" xfId="1" applyFont="1" applyFill="1" applyBorder="1" applyAlignment="1" applyProtection="1">
      <alignment horizontal="center"/>
    </xf>
    <xf numFmtId="164" fontId="0" fillId="5" borderId="17" xfId="1" applyFont="1" applyFill="1" applyBorder="1" applyAlignment="1" applyProtection="1">
      <alignment horizontal="center"/>
    </xf>
    <xf numFmtId="164" fontId="0" fillId="4" borderId="11" xfId="1" applyFont="1" applyFill="1" applyBorder="1" applyAlignment="1" applyProtection="1">
      <alignment horizontal="center"/>
    </xf>
    <xf numFmtId="164" fontId="0" fillId="5" borderId="12" xfId="1" applyFont="1" applyFill="1" applyBorder="1" applyAlignment="1" applyProtection="1">
      <alignment horizontal="center"/>
    </xf>
    <xf numFmtId="164" fontId="0" fillId="6" borderId="0" xfId="1" applyFont="1" applyFill="1" applyBorder="1" applyProtection="1"/>
    <xf numFmtId="164" fontId="1" fillId="4" borderId="21" xfId="2" applyFont="1" applyFill="1" applyBorder="1" applyAlignment="1" applyProtection="1">
      <alignment horizontal="center" vertical="center"/>
    </xf>
    <xf numFmtId="0" fontId="0" fillId="16" borderId="0" xfId="0" applyFill="1" applyAlignment="1">
      <alignment horizontal="left"/>
    </xf>
    <xf numFmtId="0" fontId="21" fillId="16" borderId="0" xfId="0" applyFont="1" applyFill="1" applyProtection="1"/>
    <xf numFmtId="2" fontId="19" fillId="16" borderId="0" xfId="0" applyNumberFormat="1" applyFont="1" applyFill="1" applyBorder="1" applyProtection="1"/>
    <xf numFmtId="0" fontId="28" fillId="16" borderId="0" xfId="0" applyFont="1" applyFill="1" applyBorder="1" applyAlignment="1">
      <alignment vertical="center" wrapText="1"/>
    </xf>
    <xf numFmtId="1" fontId="28" fillId="16" borderId="0" xfId="0" applyNumberFormat="1" applyFont="1" applyFill="1" applyBorder="1" applyAlignment="1">
      <alignment vertical="center" wrapText="1"/>
    </xf>
    <xf numFmtId="0" fontId="28" fillId="16" borderId="0" xfId="0" applyFont="1" applyFill="1" applyBorder="1" applyAlignment="1">
      <alignment horizontal="left" vertical="center" wrapText="1"/>
    </xf>
    <xf numFmtId="0" fontId="29" fillId="16" borderId="0" xfId="0" applyFont="1" applyFill="1" applyBorder="1" applyAlignment="1">
      <alignment horizontal="left" vertical="top" wrapText="1"/>
    </xf>
    <xf numFmtId="0" fontId="29" fillId="16" borderId="0" xfId="0" applyFont="1" applyFill="1" applyBorder="1" applyAlignment="1">
      <alignment horizontal="left" vertical="center" wrapText="1"/>
    </xf>
    <xf numFmtId="1" fontId="29" fillId="16" borderId="0" xfId="0" applyNumberFormat="1" applyFont="1" applyFill="1" applyBorder="1" applyAlignment="1">
      <alignment horizontal="left" vertical="center" wrapText="1"/>
    </xf>
    <xf numFmtId="1" fontId="28" fillId="16" borderId="0" xfId="0" applyNumberFormat="1" applyFont="1" applyFill="1" applyBorder="1" applyAlignment="1">
      <alignment horizontal="left" vertical="center" wrapText="1"/>
    </xf>
    <xf numFmtId="14" fontId="6" fillId="23" borderId="27" xfId="0" applyNumberFormat="1" applyFont="1" applyFill="1" applyBorder="1" applyAlignment="1" applyProtection="1">
      <alignment horizontal="center"/>
    </xf>
    <xf numFmtId="14" fontId="6" fillId="23" borderId="18" xfId="0" applyNumberFormat="1" applyFont="1" applyFill="1" applyBorder="1" applyAlignment="1" applyProtection="1">
      <alignment horizontal="center"/>
    </xf>
    <xf numFmtId="14" fontId="6" fillId="23" borderId="37" xfId="0" applyNumberFormat="1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37" xfId="0" applyFont="1" applyFill="1" applyBorder="1" applyAlignment="1" applyProtection="1">
      <alignment horizontal="center"/>
    </xf>
    <xf numFmtId="14" fontId="6" fillId="10" borderId="27" xfId="0" applyNumberFormat="1" applyFont="1" applyFill="1" applyBorder="1" applyAlignment="1" applyProtection="1">
      <alignment horizontal="center"/>
    </xf>
    <xf numFmtId="14" fontId="6" fillId="10" borderId="18" xfId="0" applyNumberFormat="1" applyFont="1" applyFill="1" applyBorder="1" applyAlignment="1" applyProtection="1">
      <alignment horizontal="center"/>
    </xf>
    <xf numFmtId="14" fontId="6" fillId="10" borderId="37" xfId="0" applyNumberFormat="1" applyFont="1" applyFill="1" applyBorder="1" applyAlignment="1" applyProtection="1">
      <alignment horizontal="center"/>
    </xf>
    <xf numFmtId="0" fontId="0" fillId="9" borderId="19" xfId="0" applyFont="1" applyFill="1" applyBorder="1" applyAlignment="1" applyProtection="1">
      <alignment horizontal="center"/>
    </xf>
    <xf numFmtId="0" fontId="0" fillId="9" borderId="20" xfId="0" applyFont="1" applyFill="1" applyBorder="1" applyAlignment="1" applyProtection="1">
      <alignment horizontal="center"/>
    </xf>
    <xf numFmtId="0" fontId="0" fillId="9" borderId="21" xfId="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left" vertical="center" wrapText="1"/>
    </xf>
    <xf numFmtId="0" fontId="1" fillId="7" borderId="18" xfId="0" applyFont="1" applyFill="1" applyBorder="1" applyAlignment="1" applyProtection="1">
      <alignment horizontal="left" vertical="center" wrapText="1"/>
    </xf>
    <xf numFmtId="0" fontId="1" fillId="7" borderId="37" xfId="0" applyFont="1" applyFill="1" applyBorder="1" applyAlignment="1" applyProtection="1">
      <alignment horizontal="left" vertical="center" wrapText="1"/>
    </xf>
    <xf numFmtId="0" fontId="1" fillId="12" borderId="19" xfId="0" applyFont="1" applyFill="1" applyBorder="1" applyAlignment="1" applyProtection="1">
      <alignment horizontal="center"/>
      <protection locked="0"/>
    </xf>
    <xf numFmtId="0" fontId="1" fillId="12" borderId="20" xfId="0" applyFont="1" applyFill="1" applyBorder="1" applyAlignment="1" applyProtection="1">
      <alignment horizontal="center"/>
      <protection locked="0"/>
    </xf>
    <xf numFmtId="0" fontId="1" fillId="12" borderId="21" xfId="0" applyFont="1" applyFill="1" applyBorder="1" applyAlignment="1" applyProtection="1">
      <alignment horizontal="center"/>
      <protection locked="0"/>
    </xf>
    <xf numFmtId="167" fontId="1" fillId="13" borderId="19" xfId="2" applyNumberFormat="1" applyFont="1" applyFill="1" applyBorder="1" applyAlignment="1" applyProtection="1">
      <alignment horizontal="center"/>
      <protection locked="0"/>
    </xf>
    <xf numFmtId="167" fontId="1" fillId="13" borderId="20" xfId="2" applyNumberFormat="1" applyFont="1" applyFill="1" applyBorder="1" applyAlignment="1" applyProtection="1">
      <alignment horizontal="center"/>
      <protection locked="0"/>
    </xf>
    <xf numFmtId="167" fontId="1" fillId="13" borderId="21" xfId="2" applyNumberFormat="1" applyFont="1" applyFill="1" applyBorder="1" applyAlignment="1" applyProtection="1">
      <alignment horizontal="center"/>
      <protection locked="0"/>
    </xf>
    <xf numFmtId="164" fontId="1" fillId="13" borderId="19" xfId="1" applyFont="1" applyFill="1" applyBorder="1" applyAlignment="1" applyProtection="1">
      <alignment horizontal="center"/>
      <protection locked="0"/>
    </xf>
    <xf numFmtId="164" fontId="1" fillId="13" borderId="20" xfId="1" applyFont="1" applyFill="1" applyBorder="1" applyAlignment="1" applyProtection="1">
      <alignment horizontal="center"/>
      <protection locked="0"/>
    </xf>
    <xf numFmtId="164" fontId="1" fillId="13" borderId="21" xfId="1" applyFont="1" applyFill="1" applyBorder="1" applyAlignment="1" applyProtection="1">
      <alignment horizontal="center"/>
      <protection locked="0"/>
    </xf>
    <xf numFmtId="165" fontId="1" fillId="3" borderId="38" xfId="2" applyNumberFormat="1" applyFont="1" applyFill="1" applyBorder="1" applyAlignment="1" applyProtection="1">
      <alignment horizontal="left"/>
    </xf>
    <xf numFmtId="165" fontId="1" fillId="3" borderId="39" xfId="2" applyNumberFormat="1" applyFont="1" applyFill="1" applyBorder="1" applyAlignment="1" applyProtection="1">
      <alignment horizontal="left"/>
    </xf>
    <xf numFmtId="165" fontId="1" fillId="3" borderId="19" xfId="2" applyNumberFormat="1" applyFont="1" applyFill="1" applyBorder="1" applyAlignment="1" applyProtection="1">
      <alignment horizontal="center"/>
    </xf>
    <xf numFmtId="165" fontId="1" fillId="3" borderId="20" xfId="2" applyNumberFormat="1" applyFont="1" applyFill="1" applyBorder="1" applyAlignment="1" applyProtection="1">
      <alignment horizontal="center"/>
    </xf>
    <xf numFmtId="165" fontId="1" fillId="3" borderId="40" xfId="2" applyNumberFormat="1" applyFont="1" applyFill="1" applyBorder="1" applyAlignment="1" applyProtection="1">
      <alignment horizontal="center"/>
    </xf>
    <xf numFmtId="0" fontId="1" fillId="4" borderId="19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21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horizontal="center"/>
    </xf>
    <xf numFmtId="0" fontId="0" fillId="7" borderId="43" xfId="0" applyFill="1" applyBorder="1" applyAlignment="1" applyProtection="1">
      <alignment horizontal="center"/>
    </xf>
    <xf numFmtId="165" fontId="0" fillId="3" borderId="0" xfId="2" applyNumberFormat="1" applyFont="1" applyFill="1" applyBorder="1" applyAlignment="1" applyProtection="1">
      <alignment horizontal="center"/>
    </xf>
    <xf numFmtId="165" fontId="0" fillId="3" borderId="32" xfId="2" applyNumberFormat="1" applyFont="1" applyFill="1" applyBorder="1" applyAlignment="1" applyProtection="1">
      <alignment horizontal="center"/>
    </xf>
    <xf numFmtId="164" fontId="1" fillId="13" borderId="44" xfId="1" applyFont="1" applyFill="1" applyBorder="1" applyAlignment="1" applyProtection="1">
      <alignment horizontal="center"/>
      <protection locked="0"/>
    </xf>
    <xf numFmtId="164" fontId="1" fillId="13" borderId="40" xfId="1" applyFont="1" applyFill="1" applyBorder="1" applyAlignment="1" applyProtection="1">
      <alignment horizontal="center"/>
      <protection locked="0"/>
    </xf>
    <xf numFmtId="0" fontId="1" fillId="17" borderId="0" xfId="0" applyFont="1" applyFill="1" applyBorder="1" applyAlignment="1" applyProtection="1">
      <alignment horizontal="center" vertical="center" wrapText="1"/>
    </xf>
    <xf numFmtId="0" fontId="1" fillId="18" borderId="0" xfId="0" applyFont="1" applyFill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/>
    </xf>
    <xf numFmtId="0" fontId="0" fillId="2" borderId="39" xfId="0" applyFont="1" applyFill="1" applyBorder="1" applyAlignment="1" applyProtection="1">
      <alignment horizontal="center"/>
    </xf>
    <xf numFmtId="0" fontId="0" fillId="2" borderId="42" xfId="0" applyFont="1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right"/>
    </xf>
    <xf numFmtId="0" fontId="0" fillId="7" borderId="31" xfId="0" applyFill="1" applyBorder="1" applyAlignment="1" applyProtection="1">
      <alignment horizontal="right"/>
    </xf>
    <xf numFmtId="165" fontId="3" fillId="13" borderId="19" xfId="2" applyNumberFormat="1" applyFont="1" applyFill="1" applyBorder="1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7" fillId="6" borderId="0" xfId="0" applyFont="1" applyFill="1" applyAlignment="1" applyProtection="1">
      <alignment horizontal="left" vertical="center"/>
    </xf>
    <xf numFmtId="0" fontId="5" fillId="7" borderId="13" xfId="0" applyFont="1" applyFill="1" applyBorder="1" applyAlignment="1" applyProtection="1">
      <alignment horizontal="left" vertical="center" wrapText="1"/>
    </xf>
    <xf numFmtId="0" fontId="5" fillId="7" borderId="20" xfId="0" applyFont="1" applyFill="1" applyBorder="1" applyAlignment="1" applyProtection="1">
      <alignment horizontal="left" vertical="center" wrapText="1"/>
    </xf>
    <xf numFmtId="0" fontId="5" fillId="7" borderId="21" xfId="0" applyFont="1" applyFill="1" applyBorder="1" applyAlignment="1" applyProtection="1">
      <alignment horizontal="left" vertical="center" wrapText="1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left" vertical="center" wrapText="1"/>
    </xf>
    <xf numFmtId="0" fontId="5" fillId="7" borderId="13" xfId="0" applyFont="1" applyFill="1" applyBorder="1" applyAlignment="1" applyProtection="1">
      <alignment horizontal="center"/>
    </xf>
    <xf numFmtId="0" fontId="5" fillId="7" borderId="14" xfId="0" applyFont="1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center"/>
    </xf>
    <xf numFmtId="0" fontId="0" fillId="7" borderId="14" xfId="0" applyFill="1" applyBorder="1" applyAlignment="1" applyProtection="1">
      <alignment horizontal="right"/>
    </xf>
    <xf numFmtId="0" fontId="0" fillId="7" borderId="30" xfId="0" applyFill="1" applyBorder="1" applyAlignment="1" applyProtection="1">
      <alignment horizontal="right"/>
    </xf>
    <xf numFmtId="0" fontId="1" fillId="18" borderId="0" xfId="0" applyFont="1" applyFill="1" applyBorder="1" applyAlignment="1" applyProtection="1">
      <alignment horizontal="left" vertical="center" wrapText="1"/>
    </xf>
    <xf numFmtId="0" fontId="1" fillId="18" borderId="32" xfId="0" applyFont="1" applyFill="1" applyBorder="1" applyAlignment="1" applyProtection="1">
      <alignment horizontal="left" vertical="center" wrapText="1"/>
    </xf>
    <xf numFmtId="0" fontId="0" fillId="21" borderId="27" xfId="0" applyFont="1" applyFill="1" applyBorder="1" applyAlignment="1" applyProtection="1">
      <alignment horizontal="center"/>
    </xf>
    <xf numFmtId="0" fontId="0" fillId="21" borderId="18" xfId="0" applyFont="1" applyFill="1" applyBorder="1" applyAlignment="1" applyProtection="1">
      <alignment horizontal="center"/>
    </xf>
    <xf numFmtId="0" fontId="0" fillId="21" borderId="37" xfId="0" applyFont="1" applyFill="1" applyBorder="1" applyAlignment="1" applyProtection="1">
      <alignment horizontal="center"/>
    </xf>
    <xf numFmtId="0" fontId="0" fillId="12" borderId="0" xfId="0" applyNumberFormat="1" applyFill="1" applyBorder="1" applyAlignment="1" applyProtection="1">
      <alignment horizontal="left" vertical="center" wrapText="1"/>
    </xf>
    <xf numFmtId="0" fontId="0" fillId="12" borderId="32" xfId="0" applyNumberFormat="1" applyFill="1" applyBorder="1" applyAlignment="1" applyProtection="1">
      <alignment horizontal="left" vertical="center" wrapText="1"/>
    </xf>
    <xf numFmtId="0" fontId="0" fillId="12" borderId="10" xfId="0" applyFill="1" applyBorder="1" applyAlignment="1" applyProtection="1">
      <alignment vertical="center" wrapText="1"/>
    </xf>
    <xf numFmtId="0" fontId="0" fillId="12" borderId="31" xfId="0" applyFill="1" applyBorder="1" applyAlignment="1" applyProtection="1">
      <alignment vertical="center" wrapText="1"/>
    </xf>
    <xf numFmtId="0" fontId="1" fillId="6" borderId="0" xfId="0" applyFont="1" applyFill="1" applyAlignment="1" applyProtection="1">
      <alignment horizontal="left" wrapText="1"/>
    </xf>
    <xf numFmtId="0" fontId="0" fillId="12" borderId="14" xfId="0" applyNumberFormat="1" applyFill="1" applyBorder="1" applyAlignment="1" applyProtection="1">
      <alignment horizontal="left" vertical="center" wrapText="1"/>
    </xf>
    <xf numFmtId="0" fontId="0" fillId="12" borderId="30" xfId="0" applyNumberFormat="1" applyFill="1" applyBorder="1" applyAlignment="1" applyProtection="1">
      <alignment horizontal="left" vertical="center" wrapText="1"/>
    </xf>
    <xf numFmtId="0" fontId="0" fillId="12" borderId="10" xfId="0" applyNumberFormat="1" applyFill="1" applyBorder="1" applyAlignment="1" applyProtection="1">
      <alignment horizontal="left" vertical="center" wrapText="1"/>
    </xf>
    <xf numFmtId="0" fontId="7" fillId="12" borderId="10" xfId="0" applyNumberFormat="1" applyFont="1" applyFill="1" applyBorder="1" applyAlignment="1" applyProtection="1">
      <alignment horizontal="left" vertical="center" wrapText="1"/>
    </xf>
    <xf numFmtId="0" fontId="7" fillId="12" borderId="31" xfId="0" applyNumberFormat="1" applyFont="1" applyFill="1" applyBorder="1" applyAlignment="1" applyProtection="1">
      <alignment horizontal="left" vertical="center" wrapText="1"/>
    </xf>
    <xf numFmtId="0" fontId="0" fillId="12" borderId="20" xfId="0" applyNumberFormat="1" applyFill="1" applyBorder="1" applyAlignment="1" applyProtection="1">
      <alignment horizontal="left" vertical="center" wrapText="1"/>
    </xf>
    <xf numFmtId="0" fontId="0" fillId="12" borderId="21" xfId="0" applyNumberFormat="1" applyFill="1" applyBorder="1" applyAlignment="1" applyProtection="1">
      <alignment horizontal="left" vertical="center" wrapText="1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left" vertical="center" wrapText="1"/>
    </xf>
    <xf numFmtId="0" fontId="1" fillId="8" borderId="14" xfId="0" applyFont="1" applyFill="1" applyBorder="1" applyAlignment="1" applyProtection="1">
      <alignment horizontal="left" vertical="center" wrapText="1"/>
    </xf>
    <xf numFmtId="0" fontId="1" fillId="8" borderId="30" xfId="0" applyFont="1" applyFill="1" applyBorder="1" applyAlignment="1" applyProtection="1">
      <alignment horizontal="left" vertical="center" wrapText="1"/>
    </xf>
    <xf numFmtId="0" fontId="1" fillId="8" borderId="9" xfId="0" applyFont="1" applyFill="1" applyBorder="1" applyAlignment="1" applyProtection="1">
      <alignment horizontal="left" vertical="center" wrapText="1"/>
    </xf>
    <xf numFmtId="0" fontId="1" fillId="8" borderId="10" xfId="0" applyFont="1" applyFill="1" applyBorder="1" applyAlignment="1" applyProtection="1">
      <alignment horizontal="left" vertical="center" wrapText="1"/>
    </xf>
    <xf numFmtId="0" fontId="1" fillId="8" borderId="31" xfId="0" applyFont="1" applyFill="1" applyBorder="1" applyAlignment="1" applyProtection="1">
      <alignment horizontal="left" vertical="center" wrapText="1"/>
    </xf>
    <xf numFmtId="0" fontId="12" fillId="7" borderId="8" xfId="0" applyFont="1" applyFill="1" applyBorder="1" applyAlignment="1" applyProtection="1">
      <alignment horizontal="center" vertical="center"/>
    </xf>
    <xf numFmtId="0" fontId="0" fillId="12" borderId="14" xfId="0" applyFill="1" applyBorder="1" applyAlignment="1" applyProtection="1">
      <alignment vertical="center" wrapText="1"/>
    </xf>
    <xf numFmtId="0" fontId="0" fillId="12" borderId="14" xfId="0" applyFont="1" applyFill="1" applyBorder="1" applyAlignment="1" applyProtection="1">
      <alignment vertical="center" wrapText="1"/>
    </xf>
    <xf numFmtId="0" fontId="0" fillId="12" borderId="3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horizontal="left" wrapText="1"/>
    </xf>
    <xf numFmtId="0" fontId="0" fillId="12" borderId="10" xfId="0" applyFill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center" vertical="center" wrapText="1"/>
    </xf>
    <xf numFmtId="0" fontId="1" fillId="8" borderId="20" xfId="0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0" fillId="12" borderId="31" xfId="0" applyFill="1" applyBorder="1" applyAlignment="1" applyProtection="1">
      <alignment horizontal="left" vertical="center" wrapText="1"/>
    </xf>
    <xf numFmtId="0" fontId="0" fillId="12" borderId="31" xfId="0" applyNumberFormat="1" applyFill="1" applyBorder="1" applyAlignment="1" applyProtection="1">
      <alignment horizontal="left" vertical="center" wrapText="1"/>
    </xf>
    <xf numFmtId="0" fontId="0" fillId="12" borderId="20" xfId="0" applyFill="1" applyBorder="1" applyAlignment="1" applyProtection="1">
      <alignment horizontal="left" vertical="center" wrapText="1"/>
    </xf>
    <xf numFmtId="0" fontId="0" fillId="12" borderId="20" xfId="0" applyFont="1" applyFill="1" applyBorder="1" applyAlignment="1" applyProtection="1">
      <alignment horizontal="left" vertical="center" wrapText="1"/>
    </xf>
    <xf numFmtId="0" fontId="0" fillId="12" borderId="21" xfId="0" applyFont="1" applyFill="1" applyBorder="1" applyAlignment="1" applyProtection="1">
      <alignment horizontal="left" vertical="center" wrapText="1"/>
    </xf>
    <xf numFmtId="0" fontId="1" fillId="16" borderId="0" xfId="0" applyFont="1" applyFill="1" applyBorder="1" applyAlignment="1" applyProtection="1">
      <alignment horizontal="left" wrapText="1"/>
    </xf>
    <xf numFmtId="0" fontId="0" fillId="12" borderId="14" xfId="0" applyFill="1" applyBorder="1" applyAlignment="1" applyProtection="1">
      <alignment horizontal="left" vertical="center" wrapText="1"/>
    </xf>
    <xf numFmtId="0" fontId="0" fillId="12" borderId="30" xfId="0" applyFill="1" applyBorder="1" applyAlignment="1" applyProtection="1">
      <alignment horizontal="left" vertical="center" wrapText="1"/>
    </xf>
  </cellXfs>
  <cellStyles count="5">
    <cellStyle name="Euro" xfId="1" xr:uid="{00000000-0005-0000-0000-000000000000}"/>
    <cellStyle name="Link" xfId="3" builtinId="8"/>
    <cellStyle name="Prozent" xfId="4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C$260" noThreeD="1"/>
</file>

<file path=xl/ctrlProps/ctrlProp10.xml><?xml version="1.0" encoding="utf-8"?>
<formControlPr xmlns="http://schemas.microsoft.com/office/spreadsheetml/2009/9/main" objectType="CheckBox" fmlaLink="$P$325" lockText="1" noThreeD="1"/>
</file>

<file path=xl/ctrlProps/ctrlProp11.xml><?xml version="1.0" encoding="utf-8"?>
<formControlPr xmlns="http://schemas.microsoft.com/office/spreadsheetml/2009/9/main" objectType="CheckBox" fmlaLink="$Q$325" lockText="1" noThreeD="1"/>
</file>

<file path=xl/ctrlProps/ctrlProp12.xml><?xml version="1.0" encoding="utf-8"?>
<formControlPr xmlns="http://schemas.microsoft.com/office/spreadsheetml/2009/9/main" objectType="CheckBox" checked="Checked" fmlaLink="$O$326" lockText="1" noThreeD="1"/>
</file>

<file path=xl/ctrlProps/ctrlProp13.xml><?xml version="1.0" encoding="utf-8"?>
<formControlPr xmlns="http://schemas.microsoft.com/office/spreadsheetml/2009/9/main" objectType="CheckBox" fmlaLink="$P$326" lockText="1" noThreeD="1"/>
</file>

<file path=xl/ctrlProps/ctrlProp14.xml><?xml version="1.0" encoding="utf-8"?>
<formControlPr xmlns="http://schemas.microsoft.com/office/spreadsheetml/2009/9/main" objectType="CheckBox" fmlaLink="$Q$326" lockText="1" noThreeD="1"/>
</file>

<file path=xl/ctrlProps/ctrlProp15.xml><?xml version="1.0" encoding="utf-8"?>
<formControlPr xmlns="http://schemas.microsoft.com/office/spreadsheetml/2009/9/main" objectType="CheckBox" checked="Checked" fmlaLink="$O$327" lockText="1" noThreeD="1"/>
</file>

<file path=xl/ctrlProps/ctrlProp16.xml><?xml version="1.0" encoding="utf-8"?>
<formControlPr xmlns="http://schemas.microsoft.com/office/spreadsheetml/2009/9/main" objectType="CheckBox" fmlaLink="$P$327" lockText="1" noThreeD="1"/>
</file>

<file path=xl/ctrlProps/ctrlProp17.xml><?xml version="1.0" encoding="utf-8"?>
<formControlPr xmlns="http://schemas.microsoft.com/office/spreadsheetml/2009/9/main" objectType="CheckBox" fmlaLink="$Q$327" lockText="1" noThreeD="1"/>
</file>

<file path=xl/ctrlProps/ctrlProp18.xml><?xml version="1.0" encoding="utf-8"?>
<formControlPr xmlns="http://schemas.microsoft.com/office/spreadsheetml/2009/9/main" objectType="CheckBox" checked="Checked" fmlaLink="$O$328" lockText="1" noThreeD="1"/>
</file>

<file path=xl/ctrlProps/ctrlProp19.xml><?xml version="1.0" encoding="utf-8"?>
<formControlPr xmlns="http://schemas.microsoft.com/office/spreadsheetml/2009/9/main" objectType="CheckBox" fmlaLink="$P$328" lockText="1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CheckBox" fmlaLink="$Q$328" lockText="1" noThreeD="1"/>
</file>

<file path=xl/ctrlProps/ctrlProp21.xml><?xml version="1.0" encoding="utf-8"?>
<formControlPr xmlns="http://schemas.microsoft.com/office/spreadsheetml/2009/9/main" objectType="CheckBox" checked="Checked" fmlaLink="$O$329" lockText="1" noThreeD="1"/>
</file>

<file path=xl/ctrlProps/ctrlProp22.xml><?xml version="1.0" encoding="utf-8"?>
<formControlPr xmlns="http://schemas.microsoft.com/office/spreadsheetml/2009/9/main" objectType="CheckBox" fmlaLink="$P$329" lockText="1" noThreeD="1"/>
</file>

<file path=xl/ctrlProps/ctrlProp23.xml><?xml version="1.0" encoding="utf-8"?>
<formControlPr xmlns="http://schemas.microsoft.com/office/spreadsheetml/2009/9/main" objectType="CheckBox" fmlaLink="$Q$329" lockText="1" noThreeD="1"/>
</file>

<file path=xl/ctrlProps/ctrlProp24.xml><?xml version="1.0" encoding="utf-8"?>
<formControlPr xmlns="http://schemas.microsoft.com/office/spreadsheetml/2009/9/main" objectType="CheckBox" checked="Checked" fmlaLink="$O$330" lockText="1" noThreeD="1"/>
</file>

<file path=xl/ctrlProps/ctrlProp25.xml><?xml version="1.0" encoding="utf-8"?>
<formControlPr xmlns="http://schemas.microsoft.com/office/spreadsheetml/2009/9/main" objectType="CheckBox" fmlaLink="$P$330" lockText="1" noThreeD="1"/>
</file>

<file path=xl/ctrlProps/ctrlProp26.xml><?xml version="1.0" encoding="utf-8"?>
<formControlPr xmlns="http://schemas.microsoft.com/office/spreadsheetml/2009/9/main" objectType="CheckBox" fmlaLink="$Q$330" lockText="1" noThreeD="1"/>
</file>

<file path=xl/ctrlProps/ctrlProp27.xml><?xml version="1.0" encoding="utf-8"?>
<formControlPr xmlns="http://schemas.microsoft.com/office/spreadsheetml/2009/9/main" objectType="CheckBox" checked="Checked" fmlaLink="$O$331" lockText="1" noThreeD="1"/>
</file>

<file path=xl/ctrlProps/ctrlProp28.xml><?xml version="1.0" encoding="utf-8"?>
<formControlPr xmlns="http://schemas.microsoft.com/office/spreadsheetml/2009/9/main" objectType="CheckBox" fmlaLink="$P$331" lockText="1" noThreeD="1"/>
</file>

<file path=xl/ctrlProps/ctrlProp29.xml><?xml version="1.0" encoding="utf-8"?>
<formControlPr xmlns="http://schemas.microsoft.com/office/spreadsheetml/2009/9/main" objectType="CheckBox" fmlaLink="$Q$331" lockText="1" noThreeD="1"/>
</file>

<file path=xl/ctrlProps/ctrlProp3.xml><?xml version="1.0" encoding="utf-8"?>
<formControlPr xmlns="http://schemas.microsoft.com/office/spreadsheetml/2009/9/main" objectType="Radio" checked="Checked" noThreeD="1"/>
</file>

<file path=xl/ctrlProps/ctrlProp30.xml><?xml version="1.0" encoding="utf-8"?>
<formControlPr xmlns="http://schemas.microsoft.com/office/spreadsheetml/2009/9/main" objectType="CheckBox" checked="Checked" fmlaLink="$O$323" lockText="1" noThreeD="1"/>
</file>

<file path=xl/ctrlProps/ctrlProp31.xml><?xml version="1.0" encoding="utf-8"?>
<formControlPr xmlns="http://schemas.microsoft.com/office/spreadsheetml/2009/9/main" objectType="CheckBox" fmlaLink="$P$323" lockText="1" noThreeD="1"/>
</file>

<file path=xl/ctrlProps/ctrlProp32.xml><?xml version="1.0" encoding="utf-8"?>
<formControlPr xmlns="http://schemas.microsoft.com/office/spreadsheetml/2009/9/main" objectType="CheckBox" fmlaLink="$Q$323" lockText="1" noThreeD="1"/>
</file>

<file path=xl/ctrlProps/ctrlProp33.xml><?xml version="1.0" encoding="utf-8"?>
<formControlPr xmlns="http://schemas.microsoft.com/office/spreadsheetml/2009/9/main" objectType="CheckBox" checked="Checked" fmlaLink="$C$273" lockText="1" noThreeD="1"/>
</file>

<file path=xl/ctrlProps/ctrlProp34.xml><?xml version="1.0" encoding="utf-8"?>
<formControlPr xmlns="http://schemas.microsoft.com/office/spreadsheetml/2009/9/main" objectType="CheckBox" fmlaLink="$C$275" lockText="1" noThreeD="1"/>
</file>

<file path=xl/ctrlProps/ctrlProp35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CheckBox" checked="Checked" fmlaLink="$O$324" lockText="1" noThreeD="1"/>
</file>

<file path=xl/ctrlProps/ctrlProp7.xml><?xml version="1.0" encoding="utf-8"?>
<formControlPr xmlns="http://schemas.microsoft.com/office/spreadsheetml/2009/9/main" objectType="CheckBox" fmlaLink="$P$324" lockText="1" noThreeD="1"/>
</file>

<file path=xl/ctrlProps/ctrlProp8.xml><?xml version="1.0" encoding="utf-8"?>
<formControlPr xmlns="http://schemas.microsoft.com/office/spreadsheetml/2009/9/main" objectType="CheckBox" fmlaLink="$Q$324" lockText="1" noThreeD="1"/>
</file>

<file path=xl/ctrlProps/ctrlProp9.xml><?xml version="1.0" encoding="utf-8"?>
<formControlPr xmlns="http://schemas.microsoft.com/office/spreadsheetml/2009/9/main" objectType="CheckBox" checked="Checked" fmlaLink="$O$32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364</xdr:row>
      <xdr:rowOff>19050</xdr:rowOff>
    </xdr:from>
    <xdr:to>
      <xdr:col>13</xdr:col>
      <xdr:colOff>361950</xdr:colOff>
      <xdr:row>364</xdr:row>
      <xdr:rowOff>171450</xdr:rowOff>
    </xdr:to>
    <xdr:sp macro="" textlink="">
      <xdr:nvSpPr>
        <xdr:cNvPr id="10226" name="Line 6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ShapeType="1"/>
        </xdr:cNvSpPr>
      </xdr:nvSpPr>
      <xdr:spPr bwMode="auto">
        <a:xfrm flipH="1">
          <a:off x="6210300" y="8705850"/>
          <a:ext cx="0" cy="1524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73693</xdr:colOff>
      <xdr:row>347</xdr:row>
      <xdr:rowOff>95250</xdr:rowOff>
    </xdr:from>
    <xdr:to>
      <xdr:col>12</xdr:col>
      <xdr:colOff>368968</xdr:colOff>
      <xdr:row>347</xdr:row>
      <xdr:rowOff>95250</xdr:rowOff>
    </xdr:to>
    <xdr:sp macro="" textlink="">
      <xdr:nvSpPr>
        <xdr:cNvPr id="10227" name="Line 36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ShapeType="1"/>
        </xdr:cNvSpPr>
      </xdr:nvSpPr>
      <xdr:spPr bwMode="auto">
        <a:xfrm>
          <a:off x="4966535" y="5955632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83218</xdr:colOff>
      <xdr:row>354</xdr:row>
      <xdr:rowOff>71688</xdr:rowOff>
    </xdr:from>
    <xdr:to>
      <xdr:col>12</xdr:col>
      <xdr:colOff>378493</xdr:colOff>
      <xdr:row>354</xdr:row>
      <xdr:rowOff>71688</xdr:rowOff>
    </xdr:to>
    <xdr:sp macro="" textlink="">
      <xdr:nvSpPr>
        <xdr:cNvPr id="10228" name="Line 37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ShapeType="1"/>
        </xdr:cNvSpPr>
      </xdr:nvSpPr>
      <xdr:spPr bwMode="auto">
        <a:xfrm>
          <a:off x="4976060" y="7105149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64168</xdr:colOff>
      <xdr:row>357</xdr:row>
      <xdr:rowOff>80712</xdr:rowOff>
    </xdr:from>
    <xdr:to>
      <xdr:col>12</xdr:col>
      <xdr:colOff>359443</xdr:colOff>
      <xdr:row>357</xdr:row>
      <xdr:rowOff>80712</xdr:rowOff>
    </xdr:to>
    <xdr:sp macro="" textlink="">
      <xdr:nvSpPr>
        <xdr:cNvPr id="10229" name="Line 38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ShapeType="1"/>
        </xdr:cNvSpPr>
      </xdr:nvSpPr>
      <xdr:spPr bwMode="auto">
        <a:xfrm>
          <a:off x="4957010" y="7595436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73694</xdr:colOff>
      <xdr:row>359</xdr:row>
      <xdr:rowOff>85725</xdr:rowOff>
    </xdr:from>
    <xdr:to>
      <xdr:col>12</xdr:col>
      <xdr:colOff>368969</xdr:colOff>
      <xdr:row>359</xdr:row>
      <xdr:rowOff>85725</xdr:rowOff>
    </xdr:to>
    <xdr:sp macro="" textlink="">
      <xdr:nvSpPr>
        <xdr:cNvPr id="10230" name="Line 39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ShapeType="1"/>
        </xdr:cNvSpPr>
      </xdr:nvSpPr>
      <xdr:spPr bwMode="auto">
        <a:xfrm>
          <a:off x="4966536" y="7921291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68179</xdr:colOff>
      <xdr:row>363</xdr:row>
      <xdr:rowOff>95250</xdr:rowOff>
    </xdr:from>
    <xdr:to>
      <xdr:col>12</xdr:col>
      <xdr:colOff>353929</xdr:colOff>
      <xdr:row>363</xdr:row>
      <xdr:rowOff>95250</xdr:rowOff>
    </xdr:to>
    <xdr:sp macro="" textlink="">
      <xdr:nvSpPr>
        <xdr:cNvPr id="10231" name="Line 4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ShapeType="1"/>
        </xdr:cNvSpPr>
      </xdr:nvSpPr>
      <xdr:spPr bwMode="auto">
        <a:xfrm>
          <a:off x="4961021" y="8537408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85725</xdr:rowOff>
        </xdr:from>
        <xdr:to>
          <xdr:col>3</xdr:col>
          <xdr:colOff>38100</xdr:colOff>
          <xdr:row>9</xdr:row>
          <xdr:rowOff>9525</xdr:rowOff>
        </xdr:to>
        <xdr:sp macro="" textlink="">
          <xdr:nvSpPr>
            <xdr:cNvPr id="5212" name="Option Button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152400</xdr:rowOff>
        </xdr:from>
        <xdr:to>
          <xdr:col>3</xdr:col>
          <xdr:colOff>38100</xdr:colOff>
          <xdr:row>10</xdr:row>
          <xdr:rowOff>28575</xdr:rowOff>
        </xdr:to>
        <xdr:sp macro="" textlink="">
          <xdr:nvSpPr>
            <xdr:cNvPr id="5219" name="Option Button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</xdr:row>
          <xdr:rowOff>152400</xdr:rowOff>
        </xdr:from>
        <xdr:to>
          <xdr:col>3</xdr:col>
          <xdr:colOff>38100</xdr:colOff>
          <xdr:row>11</xdr:row>
          <xdr:rowOff>28575</xdr:rowOff>
        </xdr:to>
        <xdr:sp macro="" textlink="">
          <xdr:nvSpPr>
            <xdr:cNvPr id="5220" name="Option Button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142875</xdr:rowOff>
        </xdr:from>
        <xdr:to>
          <xdr:col>3</xdr:col>
          <xdr:colOff>38100</xdr:colOff>
          <xdr:row>13</xdr:row>
          <xdr:rowOff>9525</xdr:rowOff>
        </xdr:to>
        <xdr:sp macro="" textlink="">
          <xdr:nvSpPr>
            <xdr:cNvPr id="5221" name="Option Button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152400</xdr:rowOff>
        </xdr:from>
        <xdr:to>
          <xdr:col>3</xdr:col>
          <xdr:colOff>38100</xdr:colOff>
          <xdr:row>14</xdr:row>
          <xdr:rowOff>28575</xdr:rowOff>
        </xdr:to>
        <xdr:sp macro="" textlink="">
          <xdr:nvSpPr>
            <xdr:cNvPr id="5222" name="Option Button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336</xdr:row>
          <xdr:rowOff>142875</xdr:rowOff>
        </xdr:from>
        <xdr:to>
          <xdr:col>10</xdr:col>
          <xdr:colOff>66675</xdr:colOff>
          <xdr:row>338</xdr:row>
          <xdr:rowOff>28575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336</xdr:row>
          <xdr:rowOff>142875</xdr:rowOff>
        </xdr:from>
        <xdr:to>
          <xdr:col>11</xdr:col>
          <xdr:colOff>66675</xdr:colOff>
          <xdr:row>338</xdr:row>
          <xdr:rowOff>28575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336</xdr:row>
          <xdr:rowOff>142875</xdr:rowOff>
        </xdr:from>
        <xdr:to>
          <xdr:col>12</xdr:col>
          <xdr:colOff>66675</xdr:colOff>
          <xdr:row>338</xdr:row>
          <xdr:rowOff>28575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337</xdr:row>
          <xdr:rowOff>142875</xdr:rowOff>
        </xdr:from>
        <xdr:to>
          <xdr:col>10</xdr:col>
          <xdr:colOff>66675</xdr:colOff>
          <xdr:row>339</xdr:row>
          <xdr:rowOff>9525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337</xdr:row>
          <xdr:rowOff>142875</xdr:rowOff>
        </xdr:from>
        <xdr:to>
          <xdr:col>11</xdr:col>
          <xdr:colOff>66675</xdr:colOff>
          <xdr:row>339</xdr:row>
          <xdr:rowOff>9525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337</xdr:row>
          <xdr:rowOff>142875</xdr:rowOff>
        </xdr:from>
        <xdr:to>
          <xdr:col>12</xdr:col>
          <xdr:colOff>66675</xdr:colOff>
          <xdr:row>339</xdr:row>
          <xdr:rowOff>9525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338</xdr:row>
          <xdr:rowOff>142875</xdr:rowOff>
        </xdr:from>
        <xdr:to>
          <xdr:col>10</xdr:col>
          <xdr:colOff>66675</xdr:colOff>
          <xdr:row>340</xdr:row>
          <xdr:rowOff>9525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338</xdr:row>
          <xdr:rowOff>142875</xdr:rowOff>
        </xdr:from>
        <xdr:to>
          <xdr:col>11</xdr:col>
          <xdr:colOff>66675</xdr:colOff>
          <xdr:row>340</xdr:row>
          <xdr:rowOff>9525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338</xdr:row>
          <xdr:rowOff>142875</xdr:rowOff>
        </xdr:from>
        <xdr:to>
          <xdr:col>12</xdr:col>
          <xdr:colOff>66675</xdr:colOff>
          <xdr:row>340</xdr:row>
          <xdr:rowOff>9525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339</xdr:row>
          <xdr:rowOff>142875</xdr:rowOff>
        </xdr:from>
        <xdr:to>
          <xdr:col>10</xdr:col>
          <xdr:colOff>66675</xdr:colOff>
          <xdr:row>341</xdr:row>
          <xdr:rowOff>9525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339</xdr:row>
          <xdr:rowOff>142875</xdr:rowOff>
        </xdr:from>
        <xdr:to>
          <xdr:col>11</xdr:col>
          <xdr:colOff>66675</xdr:colOff>
          <xdr:row>341</xdr:row>
          <xdr:rowOff>9525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339</xdr:row>
          <xdr:rowOff>142875</xdr:rowOff>
        </xdr:from>
        <xdr:to>
          <xdr:col>12</xdr:col>
          <xdr:colOff>66675</xdr:colOff>
          <xdr:row>341</xdr:row>
          <xdr:rowOff>9525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340</xdr:row>
          <xdr:rowOff>142875</xdr:rowOff>
        </xdr:from>
        <xdr:to>
          <xdr:col>10</xdr:col>
          <xdr:colOff>66675</xdr:colOff>
          <xdr:row>342</xdr:row>
          <xdr:rowOff>9525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340</xdr:row>
          <xdr:rowOff>142875</xdr:rowOff>
        </xdr:from>
        <xdr:to>
          <xdr:col>11</xdr:col>
          <xdr:colOff>66675</xdr:colOff>
          <xdr:row>342</xdr:row>
          <xdr:rowOff>9525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340</xdr:row>
          <xdr:rowOff>142875</xdr:rowOff>
        </xdr:from>
        <xdr:to>
          <xdr:col>12</xdr:col>
          <xdr:colOff>66675</xdr:colOff>
          <xdr:row>342</xdr:row>
          <xdr:rowOff>9525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341</xdr:row>
          <xdr:rowOff>142875</xdr:rowOff>
        </xdr:from>
        <xdr:to>
          <xdr:col>10</xdr:col>
          <xdr:colOff>66675</xdr:colOff>
          <xdr:row>343</xdr:row>
          <xdr:rowOff>9525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341</xdr:row>
          <xdr:rowOff>142875</xdr:rowOff>
        </xdr:from>
        <xdr:to>
          <xdr:col>11</xdr:col>
          <xdr:colOff>66675</xdr:colOff>
          <xdr:row>343</xdr:row>
          <xdr:rowOff>9525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341</xdr:row>
          <xdr:rowOff>142875</xdr:rowOff>
        </xdr:from>
        <xdr:to>
          <xdr:col>12</xdr:col>
          <xdr:colOff>66675</xdr:colOff>
          <xdr:row>343</xdr:row>
          <xdr:rowOff>9525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342</xdr:row>
          <xdr:rowOff>142875</xdr:rowOff>
        </xdr:from>
        <xdr:to>
          <xdr:col>10</xdr:col>
          <xdr:colOff>66675</xdr:colOff>
          <xdr:row>344</xdr:row>
          <xdr:rowOff>9525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342</xdr:row>
          <xdr:rowOff>142875</xdr:rowOff>
        </xdr:from>
        <xdr:to>
          <xdr:col>11</xdr:col>
          <xdr:colOff>66675</xdr:colOff>
          <xdr:row>344</xdr:row>
          <xdr:rowOff>9525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342</xdr:row>
          <xdr:rowOff>142875</xdr:rowOff>
        </xdr:from>
        <xdr:to>
          <xdr:col>12</xdr:col>
          <xdr:colOff>66675</xdr:colOff>
          <xdr:row>344</xdr:row>
          <xdr:rowOff>9525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343</xdr:row>
          <xdr:rowOff>142875</xdr:rowOff>
        </xdr:from>
        <xdr:to>
          <xdr:col>10</xdr:col>
          <xdr:colOff>66675</xdr:colOff>
          <xdr:row>345</xdr:row>
          <xdr:rowOff>9525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343</xdr:row>
          <xdr:rowOff>142875</xdr:rowOff>
        </xdr:from>
        <xdr:to>
          <xdr:col>11</xdr:col>
          <xdr:colOff>66675</xdr:colOff>
          <xdr:row>345</xdr:row>
          <xdr:rowOff>9525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343</xdr:row>
          <xdr:rowOff>142875</xdr:rowOff>
        </xdr:from>
        <xdr:to>
          <xdr:col>12</xdr:col>
          <xdr:colOff>66675</xdr:colOff>
          <xdr:row>345</xdr:row>
          <xdr:rowOff>9525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335</xdr:row>
          <xdr:rowOff>142875</xdr:rowOff>
        </xdr:from>
        <xdr:to>
          <xdr:col>10</xdr:col>
          <xdr:colOff>66675</xdr:colOff>
          <xdr:row>337</xdr:row>
          <xdr:rowOff>28575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335</xdr:row>
          <xdr:rowOff>142875</xdr:rowOff>
        </xdr:from>
        <xdr:to>
          <xdr:col>11</xdr:col>
          <xdr:colOff>66675</xdr:colOff>
          <xdr:row>337</xdr:row>
          <xdr:rowOff>28575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335</xdr:row>
          <xdr:rowOff>142875</xdr:rowOff>
        </xdr:from>
        <xdr:to>
          <xdr:col>12</xdr:col>
          <xdr:colOff>66675</xdr:colOff>
          <xdr:row>337</xdr:row>
          <xdr:rowOff>28575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362</xdr:row>
          <xdr:rowOff>142875</xdr:rowOff>
        </xdr:from>
        <xdr:to>
          <xdr:col>10</xdr:col>
          <xdr:colOff>66675</xdr:colOff>
          <xdr:row>364</xdr:row>
          <xdr:rowOff>9525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351</xdr:row>
          <xdr:rowOff>133350</xdr:rowOff>
        </xdr:from>
        <xdr:to>
          <xdr:col>10</xdr:col>
          <xdr:colOff>66675</xdr:colOff>
          <xdr:row>353</xdr:row>
          <xdr:rowOff>28575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371475</xdr:colOff>
      <xdr:row>348</xdr:row>
      <xdr:rowOff>19050</xdr:rowOff>
    </xdr:from>
    <xdr:to>
      <xdr:col>13</xdr:col>
      <xdr:colOff>371475</xdr:colOff>
      <xdr:row>348</xdr:row>
      <xdr:rowOff>171450</xdr:rowOff>
    </xdr:to>
    <xdr:sp macro="" textlink="">
      <xdr:nvSpPr>
        <xdr:cNvPr id="10233" name="Line 6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ShapeType="1"/>
        </xdr:cNvSpPr>
      </xdr:nvSpPr>
      <xdr:spPr bwMode="auto">
        <a:xfrm flipH="1">
          <a:off x="6219825" y="6096000"/>
          <a:ext cx="0" cy="1524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10</xdr:row>
          <xdr:rowOff>152400</xdr:rowOff>
        </xdr:from>
        <xdr:to>
          <xdr:col>3</xdr:col>
          <xdr:colOff>38100</xdr:colOff>
          <xdr:row>12</xdr:row>
          <xdr:rowOff>28575</xdr:rowOff>
        </xdr:to>
        <xdr:sp macro="" textlink="">
          <xdr:nvSpPr>
            <xdr:cNvPr id="9896" name="Option Button 1704" hidden="1">
              <a:extLst>
                <a:ext uri="{63B3BB69-23CF-44E3-9099-C40C66FF867C}">
                  <a14:compatExt spid="_x0000_s9896"/>
                </a:ext>
                <a:ext uri="{FF2B5EF4-FFF2-40B4-BE49-F238E27FC236}">
                  <a16:creationId xmlns:a16="http://schemas.microsoft.com/office/drawing/2014/main" id="{00000000-0008-0000-0000-0000A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hristoph.reinhard@lff.bayern.de" TargetMode="External"/><Relationship Id="rId1" Type="http://schemas.openxmlformats.org/officeDocument/2006/relationships/hyperlink" Target="mailto:rks_service@lff.bayer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 filterMode="1"/>
  <dimension ref="B1:BU567"/>
  <sheetViews>
    <sheetView showGridLines="0" tabSelected="1" zoomScaleNormal="100" zoomScaleSheetLayoutView="100" workbookViewId="0">
      <selection activeCell="O21" sqref="O21"/>
    </sheetView>
  </sheetViews>
  <sheetFormatPr baseColWidth="10" defaultColWidth="11.42578125" defaultRowHeight="12.75" x14ac:dyDescent="0.2"/>
  <cols>
    <col min="1" max="1" width="1.42578125" style="27" customWidth="1"/>
    <col min="2" max="2" width="1.42578125" style="27" hidden="1" customWidth="1"/>
    <col min="3" max="3" width="3.85546875" style="27" customWidth="1"/>
    <col min="4" max="4" width="1.140625" style="27" customWidth="1"/>
    <col min="5" max="5" width="9.85546875" style="27" customWidth="1"/>
    <col min="6" max="7" width="10.140625" style="27" customWidth="1"/>
    <col min="8" max="8" width="11.140625" style="27" customWidth="1"/>
    <col min="9" max="9" width="10.140625" style="27" customWidth="1"/>
    <col min="10" max="12" width="4.140625" style="158" customWidth="1"/>
    <col min="13" max="13" width="7.28515625" style="372" customWidth="1"/>
    <col min="14" max="14" width="10.7109375" style="372" customWidth="1"/>
    <col min="15" max="15" width="31.28515625" style="339" customWidth="1"/>
    <col min="16" max="16" width="10" style="339" customWidth="1"/>
    <col min="17" max="18" width="11.42578125" style="339" customWidth="1"/>
    <col min="19" max="19" width="12.5703125" style="339" customWidth="1"/>
    <col min="20" max="20" width="11.85546875" style="339" customWidth="1"/>
    <col min="21" max="21" width="8.85546875" style="339" customWidth="1"/>
    <col min="22" max="22" width="11.42578125" style="339" customWidth="1"/>
    <col min="23" max="33" width="11.42578125" style="24" customWidth="1"/>
    <col min="34" max="34" width="11.42578125" style="26" customWidth="1"/>
    <col min="35" max="70" width="11.42578125" style="27" customWidth="1"/>
    <col min="71" max="71" width="11" style="27" customWidth="1"/>
    <col min="72" max="16384" width="11.42578125" style="27"/>
  </cols>
  <sheetData>
    <row r="1" spans="2:73" ht="6" customHeight="1" x14ac:dyDescent="0.2">
      <c r="B1" s="25"/>
      <c r="C1" s="25"/>
      <c r="D1" s="25"/>
      <c r="E1" s="25"/>
      <c r="F1" s="25"/>
      <c r="G1" s="25"/>
      <c r="H1" s="25"/>
      <c r="I1" s="25"/>
      <c r="J1" s="146"/>
      <c r="K1" s="146"/>
      <c r="L1" s="146"/>
      <c r="M1" s="108"/>
      <c r="N1" s="108"/>
      <c r="P1" s="340"/>
      <c r="Q1" s="340"/>
      <c r="R1" s="340"/>
      <c r="S1" s="340"/>
      <c r="T1" s="340"/>
      <c r="U1" s="340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</row>
    <row r="2" spans="2:73" ht="6" customHeight="1" x14ac:dyDescent="0.2">
      <c r="B2" s="25"/>
      <c r="C2" s="462" t="s">
        <v>90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P2" s="340"/>
      <c r="Q2" s="340"/>
      <c r="R2" s="340"/>
      <c r="S2" s="340"/>
      <c r="T2" s="340"/>
      <c r="U2" s="340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</row>
    <row r="3" spans="2:73" ht="13.5" customHeight="1" x14ac:dyDescent="0.2">
      <c r="B3" s="25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P3" s="340"/>
      <c r="Q3" s="340"/>
      <c r="R3" s="340"/>
      <c r="S3" s="340"/>
      <c r="T3" s="340"/>
      <c r="U3" s="340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</row>
    <row r="4" spans="2:73" ht="13.5" customHeight="1" x14ac:dyDescent="0.2">
      <c r="B4" s="25"/>
      <c r="C4" s="469" t="s">
        <v>125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P4" s="340"/>
      <c r="Q4" s="340"/>
      <c r="R4" s="340"/>
      <c r="S4" s="340"/>
      <c r="T4" s="340"/>
      <c r="U4" s="340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</row>
    <row r="5" spans="2:73" ht="13.5" customHeight="1" x14ac:dyDescent="0.2">
      <c r="B5" s="25"/>
      <c r="C5" s="28" t="s">
        <v>127</v>
      </c>
      <c r="D5" s="28"/>
      <c r="E5" s="28"/>
      <c r="F5" s="28"/>
      <c r="G5" s="28"/>
      <c r="H5" s="28"/>
      <c r="I5" s="28"/>
      <c r="J5" s="146"/>
      <c r="K5" s="146"/>
      <c r="L5" s="146"/>
      <c r="M5" s="108"/>
      <c r="N5" s="108"/>
      <c r="P5" s="340"/>
      <c r="Q5" s="340"/>
      <c r="R5" s="340"/>
      <c r="S5" s="340"/>
      <c r="T5" s="340"/>
      <c r="U5" s="340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</row>
    <row r="6" spans="2:73" ht="11.25" customHeight="1" x14ac:dyDescent="0.2">
      <c r="B6" s="29"/>
      <c r="C6" s="28"/>
      <c r="D6" s="28"/>
      <c r="E6" s="28"/>
      <c r="F6" s="28"/>
      <c r="G6" s="28"/>
      <c r="H6" s="28"/>
      <c r="I6" s="28"/>
      <c r="J6" s="146"/>
      <c r="K6" s="146"/>
      <c r="L6" s="146"/>
      <c r="M6" s="108"/>
      <c r="N6" s="108"/>
      <c r="P6" s="340"/>
      <c r="Q6" s="340"/>
      <c r="R6" s="340"/>
      <c r="S6" s="340"/>
      <c r="T6" s="340"/>
      <c r="U6" s="340"/>
      <c r="W6" s="27"/>
      <c r="X6" s="27"/>
      <c r="Y6" s="27"/>
      <c r="Z6" s="27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</row>
    <row r="7" spans="2:73" ht="13.5" customHeight="1" x14ac:dyDescent="0.2">
      <c r="B7" s="30"/>
      <c r="C7" s="463" t="s">
        <v>13</v>
      </c>
      <c r="D7" s="464"/>
      <c r="E7" s="464"/>
      <c r="F7" s="464"/>
      <c r="G7" s="465"/>
      <c r="H7" s="466" t="s">
        <v>126</v>
      </c>
      <c r="I7" s="467"/>
      <c r="J7" s="467"/>
      <c r="K7" s="467"/>
      <c r="L7" s="467"/>
      <c r="M7" s="467"/>
      <c r="N7" s="468"/>
      <c r="P7" s="340"/>
      <c r="Q7" s="340"/>
      <c r="R7" s="340"/>
      <c r="S7" s="340"/>
      <c r="T7" s="340"/>
      <c r="U7" s="340"/>
      <c r="W7" s="27"/>
      <c r="X7" s="27"/>
      <c r="Y7" s="27"/>
      <c r="Z7" s="27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</row>
    <row r="8" spans="2:73" ht="9" customHeight="1" x14ac:dyDescent="0.2">
      <c r="B8" s="29"/>
      <c r="C8" s="74"/>
      <c r="D8" s="25"/>
      <c r="E8" s="25"/>
      <c r="F8" s="25"/>
      <c r="G8" s="25"/>
      <c r="H8" s="25"/>
      <c r="I8" s="25"/>
      <c r="J8" s="146"/>
      <c r="K8" s="146"/>
      <c r="L8" s="146"/>
      <c r="M8" s="108"/>
      <c r="N8" s="108"/>
      <c r="P8" s="340"/>
      <c r="Q8" s="340"/>
      <c r="R8" s="340"/>
      <c r="S8" s="340"/>
      <c r="T8" s="340"/>
      <c r="W8" s="27"/>
      <c r="X8" s="27"/>
      <c r="Y8" s="27"/>
      <c r="Z8" s="27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</row>
    <row r="9" spans="2:73" ht="13.5" customHeight="1" x14ac:dyDescent="0.2">
      <c r="B9" s="25"/>
      <c r="C9" s="97"/>
      <c r="D9" s="70"/>
      <c r="E9" s="31" t="s">
        <v>84</v>
      </c>
      <c r="F9" s="31"/>
      <c r="G9" s="32"/>
      <c r="H9" s="32"/>
      <c r="I9" s="32"/>
      <c r="J9" s="147"/>
      <c r="K9" s="147"/>
      <c r="L9" s="183"/>
      <c r="M9" s="130"/>
      <c r="N9" s="130"/>
      <c r="P9" s="342"/>
      <c r="Q9" s="343"/>
      <c r="R9" s="343"/>
      <c r="S9" s="344"/>
      <c r="T9" s="344"/>
      <c r="U9" s="344"/>
      <c r="W9" s="27"/>
      <c r="X9" s="27"/>
      <c r="Y9" s="27"/>
      <c r="Z9" s="27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</row>
    <row r="10" spans="2:73" ht="13.5" customHeight="1" x14ac:dyDescent="0.2">
      <c r="B10" s="25"/>
      <c r="C10" s="97" t="s">
        <v>87</v>
      </c>
      <c r="D10" s="71"/>
      <c r="E10" s="33" t="s">
        <v>88</v>
      </c>
      <c r="F10" s="33"/>
      <c r="G10" s="34"/>
      <c r="H10" s="34"/>
      <c r="I10" s="34"/>
      <c r="J10" s="148"/>
      <c r="K10" s="148"/>
      <c r="L10" s="183"/>
      <c r="M10" s="130"/>
      <c r="N10" s="130"/>
      <c r="W10" s="27"/>
      <c r="X10" s="27"/>
      <c r="Y10" s="27"/>
      <c r="Z10" s="27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</row>
    <row r="11" spans="2:73" ht="13.5" customHeight="1" x14ac:dyDescent="0.2">
      <c r="B11" s="25"/>
      <c r="C11" s="97"/>
      <c r="D11" s="71"/>
      <c r="E11" s="33" t="s">
        <v>85</v>
      </c>
      <c r="F11" s="33"/>
      <c r="G11" s="34"/>
      <c r="H11" s="34"/>
      <c r="I11" s="34"/>
      <c r="J11" s="148"/>
      <c r="K11" s="148"/>
      <c r="L11" s="183"/>
      <c r="M11" s="130"/>
      <c r="N11" s="130"/>
      <c r="W11" s="27"/>
      <c r="X11" s="27"/>
      <c r="Y11" s="27"/>
      <c r="Z11" s="27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</row>
    <row r="12" spans="2:73" ht="13.5" customHeight="1" x14ac:dyDescent="0.2">
      <c r="B12" s="25"/>
      <c r="C12" s="97"/>
      <c r="D12" s="71"/>
      <c r="E12" s="33" t="s">
        <v>274</v>
      </c>
      <c r="F12" s="33"/>
      <c r="G12" s="34"/>
      <c r="H12" s="34"/>
      <c r="I12" s="34"/>
      <c r="J12" s="148"/>
      <c r="K12" s="148"/>
      <c r="L12" s="183"/>
      <c r="M12" s="130"/>
      <c r="N12" s="130"/>
      <c r="W12" s="27"/>
      <c r="X12" s="27"/>
      <c r="Y12" s="27"/>
      <c r="Z12" s="27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</row>
    <row r="13" spans="2:73" ht="13.5" customHeight="1" x14ac:dyDescent="0.2">
      <c r="B13" s="25"/>
      <c r="C13" s="97"/>
      <c r="D13" s="71"/>
      <c r="E13" s="33" t="s">
        <v>89</v>
      </c>
      <c r="F13" s="33"/>
      <c r="G13" s="34"/>
      <c r="H13" s="34"/>
      <c r="I13" s="34"/>
      <c r="J13" s="148"/>
      <c r="K13" s="148"/>
      <c r="L13" s="183"/>
      <c r="M13" s="130"/>
      <c r="N13" s="130"/>
      <c r="W13" s="27"/>
      <c r="X13" s="27"/>
      <c r="Y13" s="27"/>
      <c r="Z13" s="27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</row>
    <row r="14" spans="2:73" ht="13.5" customHeight="1" x14ac:dyDescent="0.2">
      <c r="B14" s="25"/>
      <c r="C14" s="97"/>
      <c r="D14" s="72"/>
      <c r="E14" s="35" t="s">
        <v>86</v>
      </c>
      <c r="F14" s="35"/>
      <c r="G14" s="36"/>
      <c r="H14" s="36"/>
      <c r="I14" s="36"/>
      <c r="J14" s="149"/>
      <c r="K14" s="149"/>
      <c r="L14" s="183"/>
      <c r="M14" s="130"/>
      <c r="N14" s="130"/>
      <c r="W14" s="27"/>
      <c r="X14" s="27"/>
      <c r="Y14" s="27"/>
      <c r="Z14" s="27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</row>
    <row r="15" spans="2:73" ht="13.5" customHeight="1" x14ac:dyDescent="0.2">
      <c r="B15" s="25"/>
      <c r="C15" s="73"/>
      <c r="D15" s="73"/>
      <c r="E15" s="37"/>
      <c r="F15" s="37"/>
      <c r="G15" s="38"/>
      <c r="H15" s="38"/>
      <c r="I15" s="38"/>
      <c r="J15" s="150"/>
      <c r="K15" s="150"/>
      <c r="L15" s="175"/>
      <c r="M15" s="130"/>
      <c r="N15" s="130"/>
      <c r="W15" s="27"/>
      <c r="X15" s="27"/>
      <c r="Y15" s="27"/>
      <c r="Z15" s="27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</row>
    <row r="16" spans="2:73" ht="13.5" customHeight="1" x14ac:dyDescent="0.2">
      <c r="B16" s="25"/>
      <c r="C16" s="470" t="s">
        <v>116</v>
      </c>
      <c r="D16" s="471"/>
      <c r="E16" s="471"/>
      <c r="F16" s="471"/>
      <c r="G16" s="472"/>
      <c r="H16" s="75" t="s">
        <v>111</v>
      </c>
      <c r="I16" s="76" t="s">
        <v>112</v>
      </c>
      <c r="J16" s="150"/>
      <c r="K16" s="150"/>
      <c r="L16" s="175"/>
      <c r="M16" s="130"/>
      <c r="N16" s="108"/>
      <c r="W16" s="27"/>
      <c r="X16" s="27"/>
      <c r="Y16" s="27"/>
      <c r="Z16" s="27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</row>
    <row r="17" spans="2:73" ht="13.5" customHeight="1" x14ac:dyDescent="0.2">
      <c r="B17" s="25"/>
      <c r="C17" s="77"/>
      <c r="D17" s="100" t="s">
        <v>17</v>
      </c>
      <c r="E17" s="100"/>
      <c r="F17" s="473" t="s">
        <v>115</v>
      </c>
      <c r="G17" s="474"/>
      <c r="H17" s="95">
        <v>43830</v>
      </c>
      <c r="I17" s="95">
        <v>43859</v>
      </c>
      <c r="J17" s="152" t="s">
        <v>118</v>
      </c>
      <c r="K17" s="153"/>
      <c r="L17" s="184"/>
      <c r="M17" s="370"/>
      <c r="N17" s="370"/>
      <c r="W17" s="27"/>
      <c r="X17" s="27"/>
      <c r="Y17" s="27"/>
      <c r="Z17" s="27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</row>
    <row r="18" spans="2:73" ht="13.5" customHeight="1" x14ac:dyDescent="0.2">
      <c r="B18" s="25"/>
      <c r="C18" s="99"/>
      <c r="D18" s="101" t="s">
        <v>113</v>
      </c>
      <c r="E18" s="101"/>
      <c r="F18" s="457" t="s">
        <v>114</v>
      </c>
      <c r="G18" s="458"/>
      <c r="H18" s="96">
        <v>0.25</v>
      </c>
      <c r="I18" s="96">
        <v>0.75</v>
      </c>
      <c r="J18" s="152" t="s">
        <v>117</v>
      </c>
      <c r="K18" s="153"/>
      <c r="L18" s="184"/>
      <c r="M18" s="370"/>
      <c r="N18" s="370"/>
      <c r="W18" s="27"/>
      <c r="X18" s="27"/>
      <c r="Y18" s="27"/>
      <c r="Z18" s="27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</row>
    <row r="19" spans="2:73" ht="9" customHeight="1" x14ac:dyDescent="0.2">
      <c r="B19" s="25"/>
      <c r="C19" s="82"/>
      <c r="D19" s="83"/>
      <c r="E19" s="84"/>
      <c r="F19" s="84"/>
      <c r="G19" s="85"/>
      <c r="H19" s="85"/>
      <c r="I19" s="86"/>
      <c r="J19" s="150"/>
      <c r="K19" s="150"/>
      <c r="L19" s="151"/>
      <c r="M19" s="130"/>
      <c r="N19" s="130"/>
      <c r="W19" s="27"/>
      <c r="X19" s="27"/>
      <c r="Y19" s="27"/>
      <c r="Z19" s="27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</row>
    <row r="20" spans="2:73" ht="13.5" customHeight="1" x14ac:dyDescent="0.2">
      <c r="B20" s="25"/>
      <c r="C20" s="39" t="s">
        <v>52</v>
      </c>
      <c r="D20" s="40"/>
      <c r="E20" s="40"/>
      <c r="F20" s="41"/>
      <c r="G20" s="41"/>
      <c r="H20" s="42"/>
      <c r="I20" s="43"/>
      <c r="J20" s="150"/>
      <c r="K20" s="150"/>
      <c r="L20" s="151"/>
      <c r="M20" s="151"/>
      <c r="N20" s="151"/>
      <c r="W20" s="27"/>
      <c r="X20" s="27"/>
      <c r="Y20" s="27"/>
      <c r="Z20" s="27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</row>
    <row r="21" spans="2:73" ht="13.5" customHeight="1" x14ac:dyDescent="0.2">
      <c r="B21" s="25"/>
      <c r="C21" s="459" t="s">
        <v>49</v>
      </c>
      <c r="D21" s="460"/>
      <c r="E21" s="460"/>
      <c r="F21" s="460"/>
      <c r="G21" s="461"/>
      <c r="H21" s="44" t="s">
        <v>50</v>
      </c>
      <c r="I21" s="44" t="s">
        <v>51</v>
      </c>
      <c r="J21" s="306"/>
      <c r="K21" s="306" t="s">
        <v>285</v>
      </c>
      <c r="L21" s="307" t="s">
        <v>286</v>
      </c>
      <c r="M21" s="307" t="s">
        <v>287</v>
      </c>
      <c r="N21" s="307" t="s">
        <v>288</v>
      </c>
      <c r="W21" s="27"/>
      <c r="X21" s="27"/>
      <c r="Y21" s="27"/>
      <c r="Z21" s="27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</row>
    <row r="22" spans="2:73" ht="13.5" hidden="1" customHeight="1" x14ac:dyDescent="0.2">
      <c r="B22" s="25"/>
      <c r="C22" s="45" t="str">
        <f t="shared" ref="C22:C85" si="0">K22</f>
        <v>Ägypten</v>
      </c>
      <c r="D22" s="46"/>
      <c r="E22" s="46"/>
      <c r="F22" s="47"/>
      <c r="G22" s="48"/>
      <c r="H22" s="49">
        <f t="shared" ref="H22:H85" si="1">IF($C$260=3,M22,IF($C$260=6,M22,$H$250))</f>
        <v>41</v>
      </c>
      <c r="I22" s="49">
        <f t="shared" ref="I22:I85" si="2">IF($C$260=3,N22,IF($C$260=6,N22,$H$251))</f>
        <v>112</v>
      </c>
      <c r="J22" s="401"/>
      <c r="K22" s="308" t="str">
        <f t="shared" ref="K22:K85" si="3">IF($C$260=3,L22,IF($C$260=6,L22,$H$254))</f>
        <v>Ägypten</v>
      </c>
      <c r="L22" s="403" t="s">
        <v>53</v>
      </c>
      <c r="M22" s="404">
        <v>41</v>
      </c>
      <c r="N22" s="404">
        <v>112</v>
      </c>
      <c r="O22" s="307"/>
      <c r="P22" s="176"/>
      <c r="Q22" s="176"/>
      <c r="R22" s="176"/>
      <c r="S22" s="176"/>
      <c r="T22" s="176"/>
      <c r="W22" s="27"/>
      <c r="X22" s="27"/>
      <c r="Y22" s="27"/>
      <c r="Z22" s="27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</row>
    <row r="23" spans="2:73" ht="13.5" hidden="1" customHeight="1" x14ac:dyDescent="0.2">
      <c r="B23" s="25"/>
      <c r="C23" s="45" t="str">
        <f t="shared" si="0"/>
        <v>Äquatorialguinea</v>
      </c>
      <c r="D23" s="46"/>
      <c r="E23" s="46"/>
      <c r="F23" s="47"/>
      <c r="G23" s="48"/>
      <c r="H23" s="49">
        <f t="shared" si="1"/>
        <v>35</v>
      </c>
      <c r="I23" s="49">
        <f t="shared" si="2"/>
        <v>166</v>
      </c>
      <c r="J23" s="401"/>
      <c r="K23" s="308" t="str">
        <f t="shared" si="3"/>
        <v>Äquatorialguinea</v>
      </c>
      <c r="L23" s="403" t="s">
        <v>254</v>
      </c>
      <c r="M23" s="404">
        <v>35</v>
      </c>
      <c r="N23" s="404">
        <v>166</v>
      </c>
      <c r="O23" s="307"/>
      <c r="P23" s="176"/>
      <c r="Q23" s="176"/>
      <c r="R23" s="176"/>
      <c r="S23" s="176"/>
      <c r="T23" s="176"/>
      <c r="U23" s="145"/>
      <c r="V23" s="145"/>
      <c r="W23" s="27"/>
      <c r="X23" s="27"/>
      <c r="Y23" s="27"/>
      <c r="Z23" s="27"/>
      <c r="AA23" s="179"/>
      <c r="AB23" s="179"/>
      <c r="AH23" s="27"/>
    </row>
    <row r="24" spans="2:73" ht="13.5" hidden="1" customHeight="1" x14ac:dyDescent="0.2">
      <c r="B24" s="25"/>
      <c r="C24" s="45" t="str">
        <f t="shared" si="0"/>
        <v>Äthiopien</v>
      </c>
      <c r="D24" s="46"/>
      <c r="E24" s="46"/>
      <c r="F24" s="47"/>
      <c r="G24" s="48"/>
      <c r="H24" s="49">
        <f t="shared" si="1"/>
        <v>32</v>
      </c>
      <c r="I24" s="49">
        <f t="shared" si="2"/>
        <v>130</v>
      </c>
      <c r="J24" s="401"/>
      <c r="K24" s="308" t="str">
        <f t="shared" si="3"/>
        <v>Äthiopien</v>
      </c>
      <c r="L24" s="403" t="s">
        <v>133</v>
      </c>
      <c r="M24" s="404">
        <v>32</v>
      </c>
      <c r="N24" s="404">
        <v>130</v>
      </c>
      <c r="O24" s="307"/>
      <c r="P24" s="176"/>
      <c r="Q24" s="176"/>
      <c r="R24" s="176"/>
      <c r="S24" s="176"/>
      <c r="T24" s="176"/>
      <c r="U24" s="145"/>
      <c r="V24" s="176"/>
      <c r="W24" s="27"/>
      <c r="X24" s="27"/>
      <c r="Y24" s="27"/>
      <c r="Z24" s="27"/>
      <c r="AA24" s="179"/>
      <c r="AB24" s="179"/>
      <c r="AH24" s="27"/>
    </row>
    <row r="25" spans="2:73" ht="13.5" hidden="1" customHeight="1" x14ac:dyDescent="0.2">
      <c r="B25" s="25"/>
      <c r="C25" s="45" t="str">
        <f t="shared" si="0"/>
        <v>Afghanistan</v>
      </c>
      <c r="D25" s="46"/>
      <c r="E25" s="46"/>
      <c r="F25" s="47"/>
      <c r="G25" s="48"/>
      <c r="H25" s="49">
        <f t="shared" si="1"/>
        <v>25</v>
      </c>
      <c r="I25" s="49">
        <f t="shared" si="2"/>
        <v>95</v>
      </c>
      <c r="J25" s="401"/>
      <c r="K25" s="308" t="str">
        <f t="shared" si="3"/>
        <v>Afghanistan</v>
      </c>
      <c r="L25" s="403" t="s">
        <v>128</v>
      </c>
      <c r="M25" s="404">
        <v>25</v>
      </c>
      <c r="N25" s="404">
        <v>95</v>
      </c>
      <c r="O25" s="307"/>
      <c r="P25" s="176"/>
      <c r="Q25" s="176"/>
      <c r="R25" s="176"/>
      <c r="S25" s="176"/>
      <c r="T25" s="176"/>
      <c r="U25" s="145"/>
      <c r="V25" s="27"/>
      <c r="W25" s="27"/>
      <c r="X25" s="27"/>
      <c r="Y25" s="27"/>
      <c r="Z25" s="27"/>
      <c r="AA25" s="179"/>
      <c r="AB25" s="179"/>
      <c r="AH25" s="27"/>
    </row>
    <row r="26" spans="2:73" ht="13.5" hidden="1" customHeight="1" x14ac:dyDescent="0.2">
      <c r="B26" s="25"/>
      <c r="C26" s="45" t="str">
        <f t="shared" si="0"/>
        <v>Albanien</v>
      </c>
      <c r="D26" s="46"/>
      <c r="E26" s="46"/>
      <c r="F26" s="47"/>
      <c r="G26" s="48"/>
      <c r="H26" s="49">
        <f t="shared" si="1"/>
        <v>22</v>
      </c>
      <c r="I26" s="49">
        <f t="shared" si="2"/>
        <v>112</v>
      </c>
      <c r="J26" s="401"/>
      <c r="K26" s="308" t="str">
        <f t="shared" si="3"/>
        <v>Albanien</v>
      </c>
      <c r="L26" s="403" t="s">
        <v>65</v>
      </c>
      <c r="M26" s="404">
        <v>22</v>
      </c>
      <c r="N26" s="404">
        <v>112</v>
      </c>
      <c r="O26" s="307"/>
      <c r="P26" s="180"/>
      <c r="Q26" s="180"/>
      <c r="R26" s="180"/>
      <c r="S26" s="179"/>
      <c r="T26" s="179"/>
      <c r="U26" s="27"/>
      <c r="V26" s="27"/>
      <c r="W26" s="27"/>
      <c r="X26" s="27"/>
      <c r="Y26" s="27"/>
      <c r="Z26" s="27"/>
      <c r="AA26" s="179"/>
      <c r="AB26" s="179"/>
      <c r="AH26" s="27"/>
    </row>
    <row r="27" spans="2:73" ht="13.5" hidden="1" customHeight="1" x14ac:dyDescent="0.2">
      <c r="B27" s="25"/>
      <c r="C27" s="45" t="str">
        <f t="shared" si="0"/>
        <v>Algerien</v>
      </c>
      <c r="D27" s="46"/>
      <c r="E27" s="46"/>
      <c r="F27" s="47"/>
      <c r="G27" s="48"/>
      <c r="H27" s="49">
        <f t="shared" si="1"/>
        <v>39</v>
      </c>
      <c r="I27" s="49">
        <f t="shared" si="2"/>
        <v>120</v>
      </c>
      <c r="J27" s="401"/>
      <c r="K27" s="308" t="str">
        <f t="shared" si="3"/>
        <v>Algerien</v>
      </c>
      <c r="L27" s="403" t="s">
        <v>129</v>
      </c>
      <c r="M27" s="404">
        <v>39</v>
      </c>
      <c r="N27" s="404">
        <v>120</v>
      </c>
      <c r="O27" s="307"/>
      <c r="P27" s="176"/>
      <c r="Q27" s="176"/>
      <c r="R27" s="176"/>
      <c r="S27" s="176"/>
      <c r="T27" s="176"/>
      <c r="U27" s="145"/>
      <c r="V27" s="145"/>
      <c r="W27" s="27"/>
      <c r="X27" s="27"/>
      <c r="Y27" s="27"/>
      <c r="Z27" s="27"/>
      <c r="AA27" s="179"/>
      <c r="AB27" s="179"/>
      <c r="AH27" s="27"/>
    </row>
    <row r="28" spans="2:73" ht="13.5" hidden="1" customHeight="1" x14ac:dyDescent="0.2">
      <c r="B28" s="25"/>
      <c r="C28" s="45" t="str">
        <f t="shared" si="0"/>
        <v>Andorra</v>
      </c>
      <c r="D28" s="46"/>
      <c r="E28" s="46"/>
      <c r="F28" s="47"/>
      <c r="G28" s="48"/>
      <c r="H28" s="49">
        <f t="shared" si="1"/>
        <v>34</v>
      </c>
      <c r="I28" s="49">
        <f t="shared" si="2"/>
        <v>91</v>
      </c>
      <c r="J28" s="401"/>
      <c r="K28" s="308" t="str">
        <f t="shared" si="3"/>
        <v>Andorra</v>
      </c>
      <c r="L28" s="403" t="s">
        <v>54</v>
      </c>
      <c r="M28" s="404">
        <v>34</v>
      </c>
      <c r="N28" s="404">
        <v>91</v>
      </c>
      <c r="O28" s="307"/>
      <c r="P28" s="176"/>
      <c r="Q28" s="176"/>
      <c r="R28" s="176"/>
      <c r="S28" s="176"/>
      <c r="T28" s="176"/>
      <c r="U28" s="145"/>
      <c r="V28" s="145"/>
      <c r="W28" s="27"/>
      <c r="X28" s="27"/>
      <c r="Y28" s="27"/>
      <c r="Z28" s="27"/>
      <c r="AA28" s="179"/>
      <c r="AB28" s="179"/>
      <c r="AH28" s="27"/>
    </row>
    <row r="29" spans="2:73" ht="13.5" hidden="1" customHeight="1" x14ac:dyDescent="0.2">
      <c r="B29" s="25"/>
      <c r="C29" s="45" t="str">
        <f t="shared" si="0"/>
        <v>Angola</v>
      </c>
      <c r="D29" s="46"/>
      <c r="E29" s="46"/>
      <c r="F29" s="47"/>
      <c r="G29" s="48"/>
      <c r="H29" s="49">
        <f t="shared" si="1"/>
        <v>43</v>
      </c>
      <c r="I29" s="49">
        <f t="shared" si="2"/>
        <v>299</v>
      </c>
      <c r="J29" s="401"/>
      <c r="K29" s="308" t="str">
        <f t="shared" si="3"/>
        <v>Angola</v>
      </c>
      <c r="L29" s="403" t="s">
        <v>130</v>
      </c>
      <c r="M29" s="404">
        <v>43</v>
      </c>
      <c r="N29" s="404">
        <v>299</v>
      </c>
      <c r="O29" s="307"/>
      <c r="P29" s="176"/>
      <c r="Q29" s="176"/>
      <c r="R29" s="176"/>
      <c r="S29" s="176"/>
      <c r="T29" s="176"/>
      <c r="U29" s="145"/>
      <c r="V29" s="145"/>
      <c r="W29" s="27"/>
      <c r="X29" s="27"/>
      <c r="Y29" s="27"/>
      <c r="Z29" s="27"/>
      <c r="AA29" s="179"/>
      <c r="AB29" s="179"/>
      <c r="AH29" s="27"/>
    </row>
    <row r="30" spans="2:73" ht="13.5" hidden="1" customHeight="1" x14ac:dyDescent="0.2">
      <c r="B30" s="25"/>
      <c r="C30" s="45" t="str">
        <f t="shared" si="0"/>
        <v>Argentinien</v>
      </c>
      <c r="D30" s="46"/>
      <c r="E30" s="46"/>
      <c r="F30" s="47"/>
      <c r="G30" s="48"/>
      <c r="H30" s="49">
        <f t="shared" si="1"/>
        <v>29</v>
      </c>
      <c r="I30" s="49">
        <f t="shared" si="2"/>
        <v>113</v>
      </c>
      <c r="J30" s="401"/>
      <c r="K30" s="308" t="str">
        <f t="shared" si="3"/>
        <v>Argentinien</v>
      </c>
      <c r="L30" s="403" t="s">
        <v>66</v>
      </c>
      <c r="M30" s="404">
        <v>29</v>
      </c>
      <c r="N30" s="404">
        <v>113</v>
      </c>
      <c r="O30" s="307"/>
      <c r="P30" s="176"/>
      <c r="Q30" s="176"/>
      <c r="R30" s="176"/>
      <c r="S30" s="176"/>
      <c r="T30" s="176"/>
      <c r="U30" s="145"/>
      <c r="V30" s="145"/>
      <c r="W30" s="27"/>
      <c r="X30" s="27"/>
      <c r="Y30" s="27"/>
      <c r="Z30" s="27"/>
      <c r="AA30" s="179"/>
      <c r="AB30" s="179"/>
      <c r="AH30" s="27"/>
    </row>
    <row r="31" spans="2:73" ht="13.5" hidden="1" customHeight="1" x14ac:dyDescent="0.2">
      <c r="B31" s="25"/>
      <c r="C31" s="45" t="str">
        <f t="shared" si="0"/>
        <v>Armenien</v>
      </c>
      <c r="D31" s="46"/>
      <c r="E31" s="46"/>
      <c r="F31" s="47"/>
      <c r="G31" s="48"/>
      <c r="H31" s="49">
        <f t="shared" si="1"/>
        <v>20</v>
      </c>
      <c r="I31" s="49">
        <f t="shared" si="2"/>
        <v>59</v>
      </c>
      <c r="J31" s="401"/>
      <c r="K31" s="308" t="str">
        <f t="shared" si="3"/>
        <v>Armenien</v>
      </c>
      <c r="L31" s="403" t="s">
        <v>131</v>
      </c>
      <c r="M31" s="404">
        <v>20</v>
      </c>
      <c r="N31" s="404">
        <v>59</v>
      </c>
      <c r="O31" s="307"/>
      <c r="P31" s="176"/>
      <c r="Q31" s="176"/>
      <c r="R31" s="176"/>
      <c r="S31" s="176"/>
      <c r="T31" s="176"/>
      <c r="U31" s="145"/>
      <c r="V31" s="145"/>
      <c r="W31" s="27"/>
      <c r="X31" s="27"/>
      <c r="Y31" s="27"/>
      <c r="Z31" s="27"/>
      <c r="AA31" s="179"/>
      <c r="AB31" s="179"/>
      <c r="AH31" s="27"/>
    </row>
    <row r="32" spans="2:73" ht="13.5" hidden="1" customHeight="1" x14ac:dyDescent="0.2">
      <c r="B32" s="25"/>
      <c r="C32" s="45" t="str">
        <f t="shared" si="0"/>
        <v>Aserbaidschan</v>
      </c>
      <c r="D32" s="46"/>
      <c r="E32" s="46"/>
      <c r="F32" s="47"/>
      <c r="G32" s="48"/>
      <c r="H32" s="49">
        <f t="shared" si="1"/>
        <v>36</v>
      </c>
      <c r="I32" s="49">
        <f t="shared" si="2"/>
        <v>88</v>
      </c>
      <c r="J32" s="401"/>
      <c r="K32" s="308" t="str">
        <f t="shared" si="3"/>
        <v>Aserbaidschan</v>
      </c>
      <c r="L32" s="403" t="s">
        <v>132</v>
      </c>
      <c r="M32" s="404">
        <v>36</v>
      </c>
      <c r="N32" s="404">
        <v>88</v>
      </c>
      <c r="O32" s="307"/>
      <c r="P32" s="176"/>
      <c r="Q32" s="176"/>
      <c r="R32" s="176"/>
      <c r="S32" s="176"/>
      <c r="T32" s="176"/>
      <c r="U32" s="145"/>
      <c r="V32" s="145"/>
      <c r="W32" s="27"/>
      <c r="X32" s="27"/>
      <c r="Y32" s="27"/>
      <c r="Z32" s="27"/>
      <c r="AA32" s="179"/>
      <c r="AB32" s="179"/>
      <c r="AH32" s="27"/>
    </row>
    <row r="33" spans="2:34" ht="13.5" hidden="1" customHeight="1" x14ac:dyDescent="0.2">
      <c r="B33" s="25"/>
      <c r="C33" s="45" t="str">
        <f t="shared" si="0"/>
        <v>Australien - Canberra</v>
      </c>
      <c r="D33" s="46"/>
      <c r="E33" s="46"/>
      <c r="F33" s="47"/>
      <c r="G33" s="48"/>
      <c r="H33" s="49">
        <f t="shared" si="1"/>
        <v>61</v>
      </c>
      <c r="I33" s="49">
        <f t="shared" si="2"/>
        <v>186</v>
      </c>
      <c r="J33" s="401"/>
      <c r="K33" s="308" t="str">
        <f t="shared" si="3"/>
        <v>Australien - Canberra</v>
      </c>
      <c r="L33" s="403" t="s">
        <v>255</v>
      </c>
      <c r="M33" s="404">
        <v>61</v>
      </c>
      <c r="N33" s="404">
        <v>186</v>
      </c>
      <c r="O33" s="307"/>
      <c r="P33" s="176"/>
      <c r="Q33" s="176"/>
      <c r="R33" s="176"/>
      <c r="S33" s="176"/>
      <c r="T33" s="176"/>
      <c r="U33" s="145"/>
      <c r="V33" s="145"/>
      <c r="W33" s="27"/>
      <c r="X33" s="27"/>
      <c r="Y33" s="27"/>
      <c r="Z33" s="27"/>
      <c r="AA33" s="179"/>
      <c r="AB33" s="179"/>
      <c r="AH33" s="27"/>
    </row>
    <row r="34" spans="2:34" ht="13.5" hidden="1" customHeight="1" x14ac:dyDescent="0.2">
      <c r="B34" s="25"/>
      <c r="C34" s="45" t="str">
        <f t="shared" si="0"/>
        <v>Australien - Sydney</v>
      </c>
      <c r="D34" s="46"/>
      <c r="E34" s="46"/>
      <c r="F34" s="47"/>
      <c r="G34" s="48"/>
      <c r="H34" s="49">
        <f t="shared" si="1"/>
        <v>47</v>
      </c>
      <c r="I34" s="49">
        <f t="shared" si="2"/>
        <v>173</v>
      </c>
      <c r="J34" s="401"/>
      <c r="K34" s="308" t="str">
        <f t="shared" si="3"/>
        <v>Australien - Sydney</v>
      </c>
      <c r="L34" s="403" t="s">
        <v>67</v>
      </c>
      <c r="M34" s="404">
        <v>47</v>
      </c>
      <c r="N34" s="404">
        <v>173</v>
      </c>
      <c r="O34" s="307"/>
      <c r="P34" s="176"/>
      <c r="Q34" s="176"/>
      <c r="R34" s="176"/>
      <c r="S34" s="176"/>
      <c r="T34" s="176"/>
      <c r="U34" s="145"/>
      <c r="V34" s="145"/>
      <c r="W34" s="27"/>
      <c r="X34" s="27"/>
      <c r="Y34" s="27"/>
      <c r="Z34" s="27"/>
      <c r="AA34" s="179"/>
      <c r="AB34" s="179"/>
      <c r="AH34" s="27"/>
    </row>
    <row r="35" spans="2:34" ht="13.5" hidden="1" customHeight="1" x14ac:dyDescent="0.2">
      <c r="B35" s="25"/>
      <c r="C35" s="45" t="str">
        <f t="shared" si="0"/>
        <v>Australien - im Übrigen</v>
      </c>
      <c r="D35" s="46"/>
      <c r="E35" s="46"/>
      <c r="F35" s="47"/>
      <c r="G35" s="48"/>
      <c r="H35" s="49">
        <f t="shared" si="1"/>
        <v>47</v>
      </c>
      <c r="I35" s="49">
        <f t="shared" si="2"/>
        <v>173</v>
      </c>
      <c r="J35" s="401"/>
      <c r="K35" s="308" t="str">
        <f t="shared" si="3"/>
        <v>Australien - im Übrigen</v>
      </c>
      <c r="L35" s="403" t="s">
        <v>134</v>
      </c>
      <c r="M35" s="404">
        <v>47</v>
      </c>
      <c r="N35" s="404">
        <v>173</v>
      </c>
      <c r="O35" s="307"/>
      <c r="P35" s="176"/>
      <c r="Q35" s="176"/>
      <c r="R35" s="176"/>
      <c r="S35" s="176"/>
      <c r="T35" s="176"/>
      <c r="U35" s="145"/>
      <c r="V35" s="145"/>
      <c r="W35" s="27"/>
      <c r="X35" s="27"/>
      <c r="Y35" s="27"/>
      <c r="Z35" s="27"/>
      <c r="AA35" s="179"/>
      <c r="AB35" s="179"/>
      <c r="AH35" s="27"/>
    </row>
    <row r="36" spans="2:34" ht="13.5" hidden="1" customHeight="1" x14ac:dyDescent="0.2">
      <c r="B36" s="25"/>
      <c r="C36" s="45" t="str">
        <f t="shared" si="0"/>
        <v>Bahrain</v>
      </c>
      <c r="D36" s="46"/>
      <c r="E36" s="46"/>
      <c r="F36" s="47"/>
      <c r="G36" s="48"/>
      <c r="H36" s="49">
        <f t="shared" si="1"/>
        <v>40</v>
      </c>
      <c r="I36" s="49">
        <f t="shared" si="2"/>
        <v>153</v>
      </c>
      <c r="J36" s="401"/>
      <c r="K36" s="308" t="str">
        <f t="shared" si="3"/>
        <v>Bahrain</v>
      </c>
      <c r="L36" s="403" t="s">
        <v>135</v>
      </c>
      <c r="M36" s="404">
        <v>40</v>
      </c>
      <c r="N36" s="404">
        <v>153</v>
      </c>
      <c r="O36" s="307"/>
      <c r="P36" s="176"/>
      <c r="Q36" s="176"/>
      <c r="R36" s="176"/>
      <c r="S36" s="176"/>
      <c r="T36" s="176"/>
      <c r="U36" s="145"/>
      <c r="V36" s="145"/>
      <c r="W36" s="27"/>
      <c r="X36" s="27"/>
      <c r="Y36" s="27"/>
      <c r="Z36" s="27"/>
      <c r="AA36" s="179"/>
      <c r="AB36" s="179"/>
      <c r="AH36" s="27"/>
    </row>
    <row r="37" spans="2:34" ht="13.5" hidden="1" customHeight="1" x14ac:dyDescent="0.2">
      <c r="B37" s="25"/>
      <c r="C37" s="45" t="str">
        <f t="shared" si="0"/>
        <v>Bangladesch</v>
      </c>
      <c r="D37" s="46"/>
      <c r="E37" s="46"/>
      <c r="F37" s="47"/>
      <c r="G37" s="48"/>
      <c r="H37" s="49">
        <f t="shared" si="1"/>
        <v>41</v>
      </c>
      <c r="I37" s="49">
        <f t="shared" si="2"/>
        <v>165</v>
      </c>
      <c r="J37" s="401"/>
      <c r="K37" s="308" t="str">
        <f t="shared" si="3"/>
        <v>Bangladesch</v>
      </c>
      <c r="L37" s="403" t="s">
        <v>136</v>
      </c>
      <c r="M37" s="404">
        <v>41</v>
      </c>
      <c r="N37" s="404">
        <v>165</v>
      </c>
      <c r="O37" s="307"/>
      <c r="P37" s="176"/>
      <c r="Q37" s="176"/>
      <c r="R37" s="176"/>
      <c r="S37" s="176"/>
      <c r="T37" s="176"/>
      <c r="U37" s="145"/>
      <c r="V37" s="145"/>
      <c r="W37" s="27"/>
      <c r="X37" s="27"/>
      <c r="Y37" s="27"/>
      <c r="Z37" s="27"/>
      <c r="AA37" s="179"/>
      <c r="AB37" s="179"/>
      <c r="AH37" s="27"/>
    </row>
    <row r="38" spans="2:34" ht="13.5" hidden="1" customHeight="1" x14ac:dyDescent="0.2">
      <c r="B38" s="25"/>
      <c r="C38" s="45" t="str">
        <f t="shared" si="0"/>
        <v>Barbados</v>
      </c>
      <c r="D38" s="46"/>
      <c r="E38" s="46"/>
      <c r="F38" s="47"/>
      <c r="G38" s="48"/>
      <c r="H38" s="49">
        <f t="shared" si="1"/>
        <v>45</v>
      </c>
      <c r="I38" s="49">
        <f t="shared" si="2"/>
        <v>206</v>
      </c>
      <c r="J38" s="401"/>
      <c r="K38" s="308" t="str">
        <f t="shared" si="3"/>
        <v>Barbados</v>
      </c>
      <c r="L38" s="403" t="s">
        <v>137</v>
      </c>
      <c r="M38" s="404">
        <v>45</v>
      </c>
      <c r="N38" s="404">
        <v>206</v>
      </c>
      <c r="O38" s="307"/>
      <c r="P38" s="176"/>
      <c r="Q38" s="176"/>
      <c r="R38" s="176"/>
      <c r="S38" s="176"/>
      <c r="T38" s="176"/>
      <c r="U38" s="145"/>
      <c r="V38" s="145"/>
      <c r="W38" s="27"/>
      <c r="X38" s="27"/>
      <c r="Y38" s="27"/>
      <c r="Z38" s="27"/>
      <c r="AA38" s="179"/>
      <c r="AB38" s="179"/>
      <c r="AH38" s="27"/>
    </row>
    <row r="39" spans="2:34" ht="13.5" hidden="1" customHeight="1" x14ac:dyDescent="0.2">
      <c r="B39" s="25"/>
      <c r="C39" s="45" t="str">
        <f t="shared" si="0"/>
        <v>Belgien</v>
      </c>
      <c r="D39" s="46"/>
      <c r="E39" s="46"/>
      <c r="F39" s="47"/>
      <c r="G39" s="48"/>
      <c r="H39" s="49">
        <f t="shared" si="1"/>
        <v>49</v>
      </c>
      <c r="I39" s="49">
        <f t="shared" si="2"/>
        <v>141</v>
      </c>
      <c r="J39" s="401"/>
      <c r="K39" s="308" t="str">
        <f t="shared" si="3"/>
        <v>Belgien</v>
      </c>
      <c r="L39" s="403" t="s">
        <v>32</v>
      </c>
      <c r="M39" s="404">
        <v>49</v>
      </c>
      <c r="N39" s="404">
        <v>141</v>
      </c>
      <c r="O39" s="307"/>
      <c r="P39" s="176"/>
      <c r="Q39" s="176"/>
      <c r="R39" s="176"/>
      <c r="S39" s="176"/>
      <c r="T39" s="176"/>
      <c r="U39" s="145"/>
      <c r="V39" s="145"/>
      <c r="W39" s="27"/>
      <c r="X39" s="27"/>
      <c r="Y39" s="27"/>
      <c r="Z39" s="27"/>
      <c r="AA39" s="179"/>
      <c r="AB39" s="179"/>
      <c r="AH39" s="27"/>
    </row>
    <row r="40" spans="2:34" ht="13.5" hidden="1" customHeight="1" x14ac:dyDescent="0.2">
      <c r="B40" s="25"/>
      <c r="C40" s="45" t="str">
        <f t="shared" si="0"/>
        <v>Benin</v>
      </c>
      <c r="D40" s="46"/>
      <c r="E40" s="46"/>
      <c r="F40" s="47"/>
      <c r="G40" s="48"/>
      <c r="H40" s="49">
        <f t="shared" si="1"/>
        <v>43</v>
      </c>
      <c r="I40" s="49">
        <f t="shared" si="2"/>
        <v>115</v>
      </c>
      <c r="J40" s="401"/>
      <c r="K40" s="308" t="str">
        <f t="shared" si="3"/>
        <v>Benin</v>
      </c>
      <c r="L40" s="403" t="s">
        <v>138</v>
      </c>
      <c r="M40" s="404">
        <v>43</v>
      </c>
      <c r="N40" s="404">
        <v>115</v>
      </c>
      <c r="O40" s="307"/>
      <c r="P40" s="176"/>
      <c r="Q40" s="176"/>
      <c r="R40" s="176"/>
      <c r="S40" s="176"/>
      <c r="T40" s="176"/>
      <c r="U40" s="145"/>
      <c r="V40" s="145"/>
      <c r="W40" s="27"/>
      <c r="X40" s="27"/>
      <c r="Y40" s="27"/>
      <c r="Z40" s="27"/>
      <c r="AA40" s="179"/>
      <c r="AB40" s="179"/>
      <c r="AH40" s="27"/>
    </row>
    <row r="41" spans="2:34" ht="13.5" hidden="1" customHeight="1" x14ac:dyDescent="0.2">
      <c r="B41" s="25"/>
      <c r="C41" s="45" t="str">
        <f t="shared" si="0"/>
        <v>Bolivien</v>
      </c>
      <c r="D41" s="46"/>
      <c r="E41" s="46"/>
      <c r="F41" s="47"/>
      <c r="G41" s="48"/>
      <c r="H41" s="49">
        <f t="shared" si="1"/>
        <v>38</v>
      </c>
      <c r="I41" s="49">
        <f t="shared" si="2"/>
        <v>108</v>
      </c>
      <c r="J41" s="401"/>
      <c r="K41" s="308" t="str">
        <f t="shared" si="3"/>
        <v>Bolivien</v>
      </c>
      <c r="L41" s="403" t="s">
        <v>139</v>
      </c>
      <c r="M41" s="404">
        <v>38</v>
      </c>
      <c r="N41" s="404">
        <v>108</v>
      </c>
      <c r="O41" s="307"/>
      <c r="P41" s="176"/>
      <c r="Q41" s="176"/>
      <c r="R41" s="176"/>
      <c r="S41" s="176"/>
      <c r="T41" s="176"/>
      <c r="U41" s="145"/>
      <c r="V41" s="145"/>
      <c r="W41" s="27"/>
      <c r="X41" s="27"/>
      <c r="Y41" s="27"/>
      <c r="Z41" s="27"/>
      <c r="AA41" s="179"/>
      <c r="AB41" s="179"/>
      <c r="AH41" s="27"/>
    </row>
    <row r="42" spans="2:34" ht="13.5" hidden="1" customHeight="1" x14ac:dyDescent="0.2">
      <c r="B42" s="25"/>
      <c r="C42" s="45" t="str">
        <f t="shared" si="0"/>
        <v>Bosnien und Herzegowina</v>
      </c>
      <c r="D42" s="46"/>
      <c r="E42" s="46"/>
      <c r="F42" s="47"/>
      <c r="G42" s="48"/>
      <c r="H42" s="49">
        <f t="shared" si="1"/>
        <v>19</v>
      </c>
      <c r="I42" s="49">
        <f t="shared" si="2"/>
        <v>75</v>
      </c>
      <c r="J42" s="401"/>
      <c r="K42" s="308" t="str">
        <f t="shared" si="3"/>
        <v>Bosnien und Herzegowina</v>
      </c>
      <c r="L42" s="403" t="s">
        <v>68</v>
      </c>
      <c r="M42" s="404">
        <v>19</v>
      </c>
      <c r="N42" s="404">
        <v>75</v>
      </c>
      <c r="O42" s="307"/>
      <c r="P42" s="176"/>
      <c r="Q42" s="176"/>
      <c r="R42" s="176"/>
      <c r="S42" s="176"/>
      <c r="T42" s="176"/>
      <c r="U42" s="145"/>
      <c r="V42" s="145"/>
      <c r="W42" s="27"/>
      <c r="X42" s="27"/>
      <c r="Y42" s="27"/>
      <c r="Z42" s="27"/>
      <c r="AA42" s="179"/>
      <c r="AB42" s="179"/>
      <c r="AH42" s="27"/>
    </row>
    <row r="43" spans="2:34" ht="13.5" hidden="1" customHeight="1" x14ac:dyDescent="0.2">
      <c r="B43" s="25"/>
      <c r="C43" s="45" t="str">
        <f t="shared" si="0"/>
        <v>Botsuana</v>
      </c>
      <c r="D43" s="46"/>
      <c r="E43" s="46"/>
      <c r="F43" s="47"/>
      <c r="G43" s="48"/>
      <c r="H43" s="49">
        <f t="shared" si="1"/>
        <v>38</v>
      </c>
      <c r="I43" s="49">
        <f t="shared" si="2"/>
        <v>176</v>
      </c>
      <c r="J43" s="401"/>
      <c r="K43" s="308" t="str">
        <f t="shared" si="3"/>
        <v>Botsuana</v>
      </c>
      <c r="L43" s="403" t="s">
        <v>140</v>
      </c>
      <c r="M43" s="404">
        <v>38</v>
      </c>
      <c r="N43" s="404">
        <v>176</v>
      </c>
      <c r="O43" s="307"/>
      <c r="P43" s="176"/>
      <c r="Q43" s="176"/>
      <c r="R43" s="176"/>
      <c r="S43" s="176"/>
      <c r="T43" s="176"/>
      <c r="U43" s="145"/>
      <c r="V43" s="145"/>
      <c r="W43" s="27"/>
      <c r="X43" s="27"/>
      <c r="Y43" s="27"/>
      <c r="Z43" s="27"/>
      <c r="AA43" s="179"/>
      <c r="AB43" s="179"/>
      <c r="AH43" s="27"/>
    </row>
    <row r="44" spans="2:34" ht="13.5" hidden="1" customHeight="1" x14ac:dyDescent="0.2">
      <c r="B44" s="25"/>
      <c r="C44" s="45" t="str">
        <f t="shared" si="0"/>
        <v>Brasilien - Brasilia</v>
      </c>
      <c r="D44" s="46"/>
      <c r="E44" s="46"/>
      <c r="F44" s="47"/>
      <c r="G44" s="48"/>
      <c r="H44" s="49">
        <f t="shared" si="1"/>
        <v>42</v>
      </c>
      <c r="I44" s="49">
        <f t="shared" si="2"/>
        <v>88</v>
      </c>
      <c r="J44" s="401"/>
      <c r="K44" s="308" t="str">
        <f t="shared" si="3"/>
        <v>Brasilien - Brasilia</v>
      </c>
      <c r="L44" s="403" t="s">
        <v>69</v>
      </c>
      <c r="M44" s="404">
        <v>42</v>
      </c>
      <c r="N44" s="404">
        <v>88</v>
      </c>
      <c r="O44" s="307"/>
      <c r="P44" s="176"/>
      <c r="Q44" s="176"/>
      <c r="R44" s="176"/>
      <c r="S44" s="176"/>
      <c r="T44" s="176"/>
      <c r="U44" s="145"/>
      <c r="V44" s="145"/>
      <c r="W44" s="27"/>
      <c r="X44" s="27"/>
      <c r="Y44" s="27"/>
      <c r="Z44" s="27"/>
      <c r="AA44" s="179"/>
      <c r="AB44" s="179"/>
      <c r="AH44" s="27"/>
    </row>
    <row r="45" spans="2:34" ht="13.5" hidden="1" customHeight="1" x14ac:dyDescent="0.2">
      <c r="B45" s="25"/>
      <c r="C45" s="45" t="str">
        <f t="shared" si="0"/>
        <v>Brasilien - Rio de Janeiro</v>
      </c>
      <c r="D45" s="46"/>
      <c r="E45" s="46"/>
      <c r="F45" s="47"/>
      <c r="G45" s="48"/>
      <c r="H45" s="49">
        <f t="shared" si="1"/>
        <v>57</v>
      </c>
      <c r="I45" s="49">
        <f t="shared" si="2"/>
        <v>140</v>
      </c>
      <c r="J45" s="401"/>
      <c r="K45" s="308" t="str">
        <f t="shared" si="3"/>
        <v>Brasilien - Rio de Janeiro</v>
      </c>
      <c r="L45" s="403" t="s">
        <v>70</v>
      </c>
      <c r="M45" s="404">
        <v>57</v>
      </c>
      <c r="N45" s="404">
        <v>140</v>
      </c>
      <c r="O45" s="307"/>
      <c r="P45" s="176"/>
      <c r="Q45" s="176"/>
      <c r="R45" s="176"/>
      <c r="S45" s="176"/>
      <c r="T45" s="176"/>
      <c r="U45" s="145"/>
      <c r="V45" s="145"/>
      <c r="W45" s="27"/>
      <c r="X45" s="27"/>
      <c r="Y45" s="27"/>
      <c r="Z45" s="27"/>
      <c r="AA45" s="179"/>
      <c r="AB45" s="179"/>
      <c r="AH45" s="27"/>
    </row>
    <row r="46" spans="2:34" ht="13.5" hidden="1" customHeight="1" x14ac:dyDescent="0.2">
      <c r="B46" s="25"/>
      <c r="C46" s="45" t="str">
        <f t="shared" si="0"/>
        <v>Brasilien - Sao Paulo</v>
      </c>
      <c r="D46" s="46"/>
      <c r="E46" s="46"/>
      <c r="F46" s="47"/>
      <c r="G46" s="48"/>
      <c r="H46" s="49">
        <f t="shared" si="1"/>
        <v>38</v>
      </c>
      <c r="I46" s="49">
        <f t="shared" si="2"/>
        <v>151</v>
      </c>
      <c r="J46" s="401"/>
      <c r="K46" s="308" t="str">
        <f t="shared" si="3"/>
        <v>Brasilien - Sao Paulo</v>
      </c>
      <c r="L46" s="403" t="s">
        <v>384</v>
      </c>
      <c r="M46" s="404">
        <v>38</v>
      </c>
      <c r="N46" s="404">
        <v>151</v>
      </c>
      <c r="O46" s="307"/>
      <c r="P46" s="176"/>
      <c r="Q46" s="176"/>
      <c r="R46" s="176"/>
      <c r="S46" s="176"/>
      <c r="T46" s="176"/>
      <c r="U46" s="145"/>
      <c r="V46" s="145"/>
      <c r="W46" s="27"/>
      <c r="X46" s="27"/>
      <c r="Y46" s="27"/>
      <c r="Z46" s="27"/>
      <c r="AA46" s="179"/>
      <c r="AB46" s="179"/>
      <c r="AH46" s="27"/>
    </row>
    <row r="47" spans="2:34" ht="13.5" hidden="1" customHeight="1" x14ac:dyDescent="0.2">
      <c r="B47" s="25"/>
      <c r="C47" s="45" t="str">
        <f t="shared" si="0"/>
        <v>Brasilien - im Übrigen</v>
      </c>
      <c r="D47" s="46"/>
      <c r="E47" s="46"/>
      <c r="F47" s="47"/>
      <c r="G47" s="48"/>
      <c r="H47" s="49">
        <f t="shared" si="1"/>
        <v>38</v>
      </c>
      <c r="I47" s="49">
        <f t="shared" si="2"/>
        <v>88</v>
      </c>
      <c r="J47" s="401"/>
      <c r="K47" s="308" t="str">
        <f t="shared" si="3"/>
        <v>Brasilien - im Übrigen</v>
      </c>
      <c r="L47" s="403" t="s">
        <v>141</v>
      </c>
      <c r="M47" s="404">
        <v>38</v>
      </c>
      <c r="N47" s="404">
        <v>88</v>
      </c>
      <c r="O47" s="307"/>
      <c r="P47" s="176"/>
      <c r="Q47" s="176"/>
      <c r="R47" s="176"/>
      <c r="S47" s="176"/>
      <c r="T47" s="176"/>
      <c r="U47" s="145"/>
      <c r="V47" s="145"/>
      <c r="W47" s="27"/>
      <c r="X47" s="27"/>
      <c r="Y47" s="27"/>
      <c r="Z47" s="27"/>
      <c r="AA47" s="179"/>
      <c r="AB47" s="179"/>
      <c r="AH47" s="27"/>
    </row>
    <row r="48" spans="2:34" ht="13.5" hidden="1" customHeight="1" x14ac:dyDescent="0.2">
      <c r="B48" s="25"/>
      <c r="C48" s="45" t="str">
        <f t="shared" si="0"/>
        <v>Brunei</v>
      </c>
      <c r="D48" s="46"/>
      <c r="E48" s="46"/>
      <c r="F48" s="47"/>
      <c r="G48" s="48"/>
      <c r="H48" s="49">
        <f t="shared" si="1"/>
        <v>43</v>
      </c>
      <c r="I48" s="49">
        <f t="shared" si="2"/>
        <v>106</v>
      </c>
      <c r="J48" s="401"/>
      <c r="K48" s="308" t="str">
        <f t="shared" si="3"/>
        <v>Brunei</v>
      </c>
      <c r="L48" s="403" t="s">
        <v>142</v>
      </c>
      <c r="M48" s="404">
        <v>43</v>
      </c>
      <c r="N48" s="404">
        <v>106</v>
      </c>
      <c r="O48" s="307"/>
      <c r="P48" s="176"/>
      <c r="Q48" s="176"/>
      <c r="R48" s="176"/>
      <c r="S48" s="176"/>
      <c r="T48" s="176"/>
      <c r="U48" s="145"/>
      <c r="V48" s="145"/>
      <c r="W48" s="27"/>
      <c r="X48" s="27"/>
      <c r="Y48" s="27"/>
      <c r="Z48" s="27"/>
      <c r="AA48" s="179"/>
      <c r="AB48" s="179"/>
      <c r="AH48" s="27"/>
    </row>
    <row r="49" spans="2:34" ht="13.5" hidden="1" customHeight="1" x14ac:dyDescent="0.2">
      <c r="B49" s="25"/>
      <c r="C49" s="45" t="str">
        <f t="shared" si="0"/>
        <v>Bulgarien</v>
      </c>
      <c r="D49" s="46"/>
      <c r="E49" s="46"/>
      <c r="F49" s="47"/>
      <c r="G49" s="48"/>
      <c r="H49" s="49">
        <f t="shared" si="1"/>
        <v>18</v>
      </c>
      <c r="I49" s="49">
        <f t="shared" si="2"/>
        <v>115</v>
      </c>
      <c r="J49" s="401"/>
      <c r="K49" s="308" t="str">
        <f t="shared" si="3"/>
        <v>Bulgarien</v>
      </c>
      <c r="L49" s="403" t="s">
        <v>35</v>
      </c>
      <c r="M49" s="404">
        <v>18</v>
      </c>
      <c r="N49" s="404">
        <v>115</v>
      </c>
      <c r="O49" s="307"/>
      <c r="P49" s="176"/>
      <c r="Q49" s="176"/>
      <c r="R49" s="176"/>
      <c r="S49" s="176"/>
      <c r="T49" s="176"/>
      <c r="U49" s="145"/>
      <c r="V49" s="145"/>
      <c r="W49" s="27"/>
      <c r="X49" s="27"/>
      <c r="Y49" s="27"/>
      <c r="Z49" s="27"/>
      <c r="AA49" s="179"/>
      <c r="AB49" s="179"/>
      <c r="AH49" s="27"/>
    </row>
    <row r="50" spans="2:34" ht="13.5" hidden="1" customHeight="1" x14ac:dyDescent="0.2">
      <c r="B50" s="25"/>
      <c r="C50" s="45" t="str">
        <f t="shared" si="0"/>
        <v>Burkina Faso</v>
      </c>
      <c r="D50" s="46"/>
      <c r="E50" s="46"/>
      <c r="F50" s="47"/>
      <c r="G50" s="48"/>
      <c r="H50" s="49">
        <f t="shared" si="1"/>
        <v>31</v>
      </c>
      <c r="I50" s="49">
        <f t="shared" si="2"/>
        <v>174</v>
      </c>
      <c r="J50" s="401"/>
      <c r="K50" s="308" t="str">
        <f t="shared" si="3"/>
        <v>Burkina Faso</v>
      </c>
      <c r="L50" s="403" t="s">
        <v>143</v>
      </c>
      <c r="M50" s="404">
        <v>31</v>
      </c>
      <c r="N50" s="404">
        <v>174</v>
      </c>
      <c r="O50" s="307"/>
      <c r="P50" s="176"/>
      <c r="Q50" s="176"/>
      <c r="R50" s="176"/>
      <c r="S50" s="176"/>
      <c r="T50" s="176"/>
      <c r="U50" s="145"/>
      <c r="V50" s="145"/>
      <c r="W50" s="27"/>
      <c r="X50" s="27"/>
      <c r="Y50" s="27"/>
      <c r="Z50" s="27"/>
      <c r="AA50" s="179"/>
      <c r="AB50" s="179"/>
      <c r="AH50" s="27"/>
    </row>
    <row r="51" spans="2:34" ht="13.5" hidden="1" customHeight="1" x14ac:dyDescent="0.2">
      <c r="B51" s="25"/>
      <c r="C51" s="45" t="str">
        <f t="shared" si="0"/>
        <v>Burundi</v>
      </c>
      <c r="D51" s="46"/>
      <c r="E51" s="46"/>
      <c r="F51" s="47"/>
      <c r="G51" s="48"/>
      <c r="H51" s="49">
        <f t="shared" si="1"/>
        <v>30</v>
      </c>
      <c r="I51" s="49">
        <f t="shared" si="2"/>
        <v>138</v>
      </c>
      <c r="J51" s="401"/>
      <c r="K51" s="308" t="str">
        <f t="shared" si="3"/>
        <v>Burundi</v>
      </c>
      <c r="L51" s="403" t="s">
        <v>144</v>
      </c>
      <c r="M51" s="404">
        <v>30</v>
      </c>
      <c r="N51" s="404">
        <v>138</v>
      </c>
      <c r="O51" s="307"/>
      <c r="P51" s="176"/>
      <c r="Q51" s="176"/>
      <c r="R51" s="176"/>
      <c r="S51" s="176"/>
      <c r="T51" s="176"/>
      <c r="U51" s="145"/>
      <c r="V51" s="145"/>
      <c r="W51" s="27"/>
      <c r="X51" s="27"/>
      <c r="Y51" s="27"/>
      <c r="Z51" s="27"/>
      <c r="AA51" s="179"/>
      <c r="AB51" s="179"/>
      <c r="AH51" s="27"/>
    </row>
    <row r="52" spans="2:34" ht="13.5" hidden="1" customHeight="1" x14ac:dyDescent="0.2">
      <c r="B52" s="25"/>
      <c r="C52" s="45" t="str">
        <f t="shared" si="0"/>
        <v>Chile</v>
      </c>
      <c r="D52" s="46"/>
      <c r="E52" s="46"/>
      <c r="F52" s="47"/>
      <c r="G52" s="48"/>
      <c r="H52" s="49">
        <f t="shared" si="1"/>
        <v>36</v>
      </c>
      <c r="I52" s="49">
        <f t="shared" si="2"/>
        <v>154</v>
      </c>
      <c r="J52" s="401"/>
      <c r="K52" s="308" t="str">
        <f t="shared" si="3"/>
        <v>Chile</v>
      </c>
      <c r="L52" s="403" t="s">
        <v>71</v>
      </c>
      <c r="M52" s="404">
        <v>36</v>
      </c>
      <c r="N52" s="404">
        <v>154</v>
      </c>
      <c r="O52" s="307"/>
      <c r="P52" s="176"/>
      <c r="Q52" s="176"/>
      <c r="R52" s="176"/>
      <c r="S52" s="176"/>
      <c r="T52" s="176"/>
      <c r="U52" s="145"/>
      <c r="V52" s="145"/>
      <c r="W52" s="27"/>
      <c r="X52" s="27"/>
      <c r="Y52" s="27"/>
      <c r="Z52" s="27"/>
      <c r="AA52" s="179"/>
      <c r="AB52" s="179"/>
      <c r="AH52" s="27"/>
    </row>
    <row r="53" spans="2:34" ht="13.5" hidden="1" customHeight="1" x14ac:dyDescent="0.2">
      <c r="B53" s="25"/>
      <c r="C53" s="45" t="str">
        <f t="shared" si="0"/>
        <v>China - Chengdu</v>
      </c>
      <c r="D53" s="46"/>
      <c r="E53" s="46"/>
      <c r="F53" s="47"/>
      <c r="G53" s="48"/>
      <c r="H53" s="49">
        <f t="shared" si="1"/>
        <v>34</v>
      </c>
      <c r="I53" s="49">
        <f t="shared" si="2"/>
        <v>131</v>
      </c>
      <c r="J53" s="401"/>
      <c r="K53" s="308" t="str">
        <f t="shared" si="3"/>
        <v>China - Chengdu</v>
      </c>
      <c r="L53" s="403" t="s">
        <v>145</v>
      </c>
      <c r="M53" s="404">
        <v>34</v>
      </c>
      <c r="N53" s="404">
        <v>131</v>
      </c>
      <c r="O53" s="307"/>
      <c r="P53" s="176"/>
      <c r="Q53" s="176"/>
      <c r="R53" s="176"/>
      <c r="S53" s="176"/>
      <c r="T53" s="176"/>
      <c r="U53" s="145"/>
      <c r="V53" s="145"/>
      <c r="W53" s="27"/>
      <c r="X53" s="27"/>
      <c r="Y53" s="27"/>
      <c r="Z53" s="27"/>
      <c r="AA53" s="179"/>
      <c r="AB53" s="179"/>
      <c r="AH53" s="27"/>
    </row>
    <row r="54" spans="2:34" ht="13.5" hidden="1" customHeight="1" x14ac:dyDescent="0.2">
      <c r="B54" s="25"/>
      <c r="C54" s="45" t="str">
        <f t="shared" si="0"/>
        <v>China - Hongkong</v>
      </c>
      <c r="D54" s="46"/>
      <c r="E54" s="46"/>
      <c r="F54" s="47"/>
      <c r="G54" s="48"/>
      <c r="H54" s="49">
        <f t="shared" si="1"/>
        <v>59</v>
      </c>
      <c r="I54" s="49">
        <f t="shared" si="2"/>
        <v>169</v>
      </c>
      <c r="J54" s="401"/>
      <c r="K54" s="308" t="str">
        <f t="shared" si="3"/>
        <v>China - Hongkong</v>
      </c>
      <c r="L54" s="403" t="s">
        <v>385</v>
      </c>
      <c r="M54" s="404">
        <v>59</v>
      </c>
      <c r="N54" s="404">
        <v>169</v>
      </c>
      <c r="O54" s="307"/>
      <c r="P54" s="176"/>
      <c r="Q54" s="176"/>
      <c r="R54" s="176"/>
      <c r="S54" s="176"/>
      <c r="T54" s="176"/>
      <c r="U54" s="145"/>
      <c r="V54" s="145"/>
      <c r="W54" s="27"/>
      <c r="X54" s="27"/>
      <c r="Y54" s="27"/>
      <c r="Z54" s="27"/>
      <c r="AA54" s="179"/>
      <c r="AB54" s="179"/>
      <c r="AH54" s="27"/>
    </row>
    <row r="55" spans="2:34" ht="13.5" hidden="1" customHeight="1" x14ac:dyDescent="0.2">
      <c r="B55" s="25"/>
      <c r="C55" s="45" t="str">
        <f t="shared" si="0"/>
        <v>China - Kanton</v>
      </c>
      <c r="D55" s="46"/>
      <c r="E55" s="46"/>
      <c r="F55" s="47"/>
      <c r="G55" s="48"/>
      <c r="H55" s="49">
        <f t="shared" si="1"/>
        <v>30</v>
      </c>
      <c r="I55" s="49">
        <f t="shared" si="2"/>
        <v>150</v>
      </c>
      <c r="J55" s="401"/>
      <c r="K55" s="308" t="str">
        <f t="shared" si="3"/>
        <v>China - Kanton</v>
      </c>
      <c r="L55" s="405" t="s">
        <v>273</v>
      </c>
      <c r="M55" s="404">
        <v>30</v>
      </c>
      <c r="N55" s="404">
        <v>150</v>
      </c>
      <c r="O55" s="307"/>
      <c r="P55" s="176"/>
      <c r="Q55" s="176"/>
      <c r="R55" s="176"/>
      <c r="S55" s="176"/>
      <c r="T55" s="176"/>
      <c r="U55" s="145"/>
      <c r="V55" s="145"/>
      <c r="W55" s="27"/>
      <c r="X55" s="27"/>
      <c r="Y55" s="27"/>
      <c r="Z55" s="27"/>
      <c r="AA55" s="179"/>
      <c r="AB55" s="179"/>
      <c r="AH55" s="27"/>
    </row>
    <row r="56" spans="2:34" ht="13.5" hidden="1" customHeight="1" x14ac:dyDescent="0.2">
      <c r="B56" s="25"/>
      <c r="C56" s="45" t="str">
        <f t="shared" si="0"/>
        <v>China - Peking</v>
      </c>
      <c r="D56" s="46"/>
      <c r="E56" s="46"/>
      <c r="F56" s="47"/>
      <c r="G56" s="48"/>
      <c r="H56" s="49">
        <f t="shared" si="1"/>
        <v>25</v>
      </c>
      <c r="I56" s="49">
        <f t="shared" si="2"/>
        <v>185</v>
      </c>
      <c r="J56" s="401"/>
      <c r="K56" s="308" t="str">
        <f t="shared" si="3"/>
        <v>China - Peking</v>
      </c>
      <c r="L56" s="405" t="s">
        <v>61</v>
      </c>
      <c r="M56" s="404">
        <v>25</v>
      </c>
      <c r="N56" s="404">
        <v>185</v>
      </c>
      <c r="O56" s="307"/>
      <c r="P56" s="176"/>
      <c r="Q56" s="176"/>
      <c r="R56" s="176"/>
      <c r="S56" s="176"/>
      <c r="T56" s="176"/>
      <c r="U56" s="145"/>
      <c r="V56" s="145"/>
      <c r="W56" s="27"/>
      <c r="X56" s="27"/>
      <c r="Y56" s="27"/>
      <c r="Z56" s="27"/>
      <c r="AA56" s="179"/>
      <c r="AB56" s="179"/>
      <c r="AH56" s="27"/>
    </row>
    <row r="57" spans="2:34" ht="13.5" hidden="1" customHeight="1" x14ac:dyDescent="0.2">
      <c r="B57" s="25"/>
      <c r="C57" s="45" t="str">
        <f t="shared" si="0"/>
        <v>China- Shanghai</v>
      </c>
      <c r="D57" s="46"/>
      <c r="E57" s="46"/>
      <c r="F57" s="47"/>
      <c r="G57" s="48"/>
      <c r="H57" s="49">
        <f t="shared" si="1"/>
        <v>48</v>
      </c>
      <c r="I57" s="49">
        <f t="shared" si="2"/>
        <v>217</v>
      </c>
      <c r="J57" s="401"/>
      <c r="K57" s="308" t="str">
        <f t="shared" si="3"/>
        <v>China- Shanghai</v>
      </c>
      <c r="L57" s="405" t="s">
        <v>386</v>
      </c>
      <c r="M57" s="404">
        <v>48</v>
      </c>
      <c r="N57" s="404">
        <v>217</v>
      </c>
      <c r="O57" s="307"/>
      <c r="P57" s="176"/>
      <c r="Q57" s="176"/>
      <c r="R57" s="176"/>
      <c r="S57" s="176"/>
      <c r="T57" s="176"/>
      <c r="U57" s="145"/>
      <c r="V57" s="145"/>
      <c r="W57" s="27"/>
      <c r="X57" s="27"/>
      <c r="Y57" s="27"/>
      <c r="Z57" s="27"/>
      <c r="AA57" s="179"/>
      <c r="AB57" s="179"/>
      <c r="AH57" s="27"/>
    </row>
    <row r="58" spans="2:34" ht="13.5" hidden="1" customHeight="1" x14ac:dyDescent="0.2">
      <c r="B58" s="25"/>
      <c r="C58" s="45" t="str">
        <f t="shared" si="0"/>
        <v>China - im Übrigen</v>
      </c>
      <c r="D58" s="46"/>
      <c r="E58" s="46"/>
      <c r="F58" s="47"/>
      <c r="G58" s="48"/>
      <c r="H58" s="49">
        <f t="shared" si="1"/>
        <v>40</v>
      </c>
      <c r="I58" s="49">
        <f t="shared" si="2"/>
        <v>112</v>
      </c>
      <c r="J58" s="401"/>
      <c r="K58" s="308" t="str">
        <f t="shared" si="3"/>
        <v>China - im Übrigen</v>
      </c>
      <c r="L58" s="405" t="s">
        <v>146</v>
      </c>
      <c r="M58" s="404">
        <v>40</v>
      </c>
      <c r="N58" s="404">
        <v>112</v>
      </c>
      <c r="O58" s="307"/>
      <c r="P58" s="176"/>
      <c r="Q58" s="176"/>
      <c r="R58" s="176"/>
      <c r="S58" s="176"/>
      <c r="T58" s="176"/>
      <c r="U58" s="145"/>
      <c r="V58" s="145"/>
      <c r="W58" s="27"/>
      <c r="X58" s="27"/>
      <c r="Y58" s="27"/>
      <c r="Z58" s="27"/>
      <c r="AA58" s="179"/>
      <c r="AB58" s="179"/>
      <c r="AH58" s="27"/>
    </row>
    <row r="59" spans="2:34" ht="13.5" hidden="1" customHeight="1" x14ac:dyDescent="0.2">
      <c r="B59" s="25"/>
      <c r="C59" s="45" t="str">
        <f t="shared" si="0"/>
        <v>Costa Rica</v>
      </c>
      <c r="D59" s="46"/>
      <c r="E59" s="46"/>
      <c r="F59" s="47"/>
      <c r="G59" s="48"/>
      <c r="H59" s="49">
        <f t="shared" si="1"/>
        <v>39</v>
      </c>
      <c r="I59" s="49">
        <f t="shared" si="2"/>
        <v>93</v>
      </c>
      <c r="J59" s="401"/>
      <c r="K59" s="308" t="str">
        <f t="shared" si="3"/>
        <v>Costa Rica</v>
      </c>
      <c r="L59" s="405" t="s">
        <v>147</v>
      </c>
      <c r="M59" s="404">
        <v>39</v>
      </c>
      <c r="N59" s="404">
        <v>93</v>
      </c>
      <c r="O59" s="307"/>
      <c r="P59" s="176"/>
      <c r="Q59" s="176"/>
      <c r="R59" s="176"/>
      <c r="S59" s="176"/>
      <c r="T59" s="176"/>
      <c r="U59" s="145"/>
      <c r="V59" s="145"/>
      <c r="W59" s="27"/>
      <c r="X59" s="27"/>
      <c r="Y59" s="27"/>
      <c r="Z59" s="27"/>
      <c r="AA59" s="179"/>
      <c r="AB59" s="179"/>
      <c r="AH59" s="27"/>
    </row>
    <row r="60" spans="2:34" ht="13.5" hidden="1" customHeight="1" x14ac:dyDescent="0.2">
      <c r="B60" s="25"/>
      <c r="C60" s="45" t="str">
        <f t="shared" si="0"/>
        <v>Côte d'Ivoire</v>
      </c>
      <c r="D60" s="46"/>
      <c r="E60" s="46"/>
      <c r="F60" s="87"/>
      <c r="G60" s="88"/>
      <c r="H60" s="49">
        <f t="shared" si="1"/>
        <v>49</v>
      </c>
      <c r="I60" s="49">
        <f t="shared" si="2"/>
        <v>166</v>
      </c>
      <c r="J60" s="401"/>
      <c r="K60" s="308" t="str">
        <f t="shared" si="3"/>
        <v>Côte d'Ivoire</v>
      </c>
      <c r="L60" s="405" t="s">
        <v>387</v>
      </c>
      <c r="M60" s="404">
        <v>49</v>
      </c>
      <c r="N60" s="404">
        <v>166</v>
      </c>
      <c r="O60" s="307"/>
      <c r="P60" s="176"/>
      <c r="Q60" s="176"/>
      <c r="R60" s="176"/>
      <c r="S60" s="176"/>
      <c r="T60" s="176"/>
      <c r="U60" s="145"/>
      <c r="V60" s="145"/>
      <c r="W60" s="27"/>
      <c r="X60" s="27"/>
      <c r="Y60" s="27"/>
      <c r="Z60" s="27"/>
      <c r="AA60" s="179"/>
      <c r="AB60" s="179"/>
      <c r="AH60" s="27"/>
    </row>
    <row r="61" spans="2:34" ht="13.5" hidden="1" customHeight="1" x14ac:dyDescent="0.2">
      <c r="B61" s="25"/>
      <c r="C61" s="45" t="str">
        <f t="shared" si="0"/>
        <v>Dänemark</v>
      </c>
      <c r="D61" s="46"/>
      <c r="E61" s="46"/>
      <c r="F61" s="47"/>
      <c r="G61" s="48"/>
      <c r="H61" s="49">
        <f t="shared" si="1"/>
        <v>62</v>
      </c>
      <c r="I61" s="49">
        <f t="shared" si="2"/>
        <v>183</v>
      </c>
      <c r="J61" s="401"/>
      <c r="K61" s="308" t="str">
        <f t="shared" si="3"/>
        <v>Dänemark</v>
      </c>
      <c r="L61" s="405" t="s">
        <v>388</v>
      </c>
      <c r="M61" s="404">
        <v>62</v>
      </c>
      <c r="N61" s="404">
        <v>183</v>
      </c>
      <c r="O61" s="307"/>
      <c r="P61" s="176"/>
      <c r="Q61" s="176"/>
      <c r="R61" s="176"/>
      <c r="S61" s="176"/>
      <c r="T61" s="176"/>
      <c r="U61" s="145"/>
      <c r="V61" s="145"/>
      <c r="W61" s="27"/>
      <c r="X61" s="27"/>
      <c r="Y61" s="27"/>
      <c r="Z61" s="27"/>
      <c r="AA61" s="179"/>
      <c r="AB61" s="179"/>
      <c r="AH61" s="27"/>
    </row>
    <row r="62" spans="2:34" ht="13.5" hidden="1" customHeight="1" x14ac:dyDescent="0.2">
      <c r="B62" s="25"/>
      <c r="C62" s="45" t="str">
        <f t="shared" si="0"/>
        <v>Dominikanische Republik</v>
      </c>
      <c r="D62" s="46"/>
      <c r="E62" s="46"/>
      <c r="F62" s="47"/>
      <c r="G62" s="48"/>
      <c r="H62" s="49">
        <f t="shared" si="1"/>
        <v>41</v>
      </c>
      <c r="I62" s="49">
        <f t="shared" si="2"/>
        <v>167</v>
      </c>
      <c r="J62" s="401"/>
      <c r="K62" s="308" t="str">
        <f t="shared" si="3"/>
        <v>Dominikanische Republik</v>
      </c>
      <c r="L62" s="405" t="s">
        <v>148</v>
      </c>
      <c r="M62" s="404">
        <v>41</v>
      </c>
      <c r="N62" s="404">
        <v>167</v>
      </c>
      <c r="O62" s="307"/>
      <c r="P62" s="176"/>
      <c r="Q62" s="176"/>
      <c r="R62" s="176"/>
      <c r="S62" s="176"/>
      <c r="T62" s="176"/>
      <c r="U62" s="145"/>
      <c r="V62" s="145"/>
      <c r="W62" s="27"/>
      <c r="X62" s="27"/>
      <c r="Y62" s="27"/>
      <c r="Z62" s="27"/>
      <c r="AA62" s="179"/>
      <c r="AB62" s="179"/>
      <c r="AH62" s="27"/>
    </row>
    <row r="63" spans="2:34" ht="13.5" hidden="1" customHeight="1" x14ac:dyDescent="0.2">
      <c r="B63" s="25"/>
      <c r="C63" s="45" t="str">
        <f t="shared" si="0"/>
        <v>Dschibuti</v>
      </c>
      <c r="D63" s="46"/>
      <c r="E63" s="46"/>
      <c r="F63" s="47"/>
      <c r="G63" s="48"/>
      <c r="H63" s="49">
        <f t="shared" si="1"/>
        <v>64</v>
      </c>
      <c r="I63" s="49">
        <f t="shared" si="2"/>
        <v>255</v>
      </c>
      <c r="J63" s="401"/>
      <c r="K63" s="308" t="str">
        <f t="shared" si="3"/>
        <v>Dschibuti</v>
      </c>
      <c r="L63" s="405" t="s">
        <v>149</v>
      </c>
      <c r="M63" s="404">
        <v>64</v>
      </c>
      <c r="N63" s="404">
        <v>255</v>
      </c>
      <c r="O63" s="307"/>
      <c r="P63" s="176"/>
      <c r="Q63" s="176"/>
      <c r="R63" s="176"/>
      <c r="S63" s="176"/>
      <c r="T63" s="176"/>
      <c r="U63" s="145"/>
      <c r="V63" s="145"/>
      <c r="W63" s="27"/>
      <c r="X63" s="27"/>
      <c r="Y63" s="27"/>
      <c r="Z63" s="27"/>
      <c r="AA63" s="179"/>
      <c r="AB63" s="179"/>
      <c r="AH63" s="27"/>
    </row>
    <row r="64" spans="2:34" ht="13.5" hidden="1" customHeight="1" x14ac:dyDescent="0.2">
      <c r="B64" s="25"/>
      <c r="C64" s="45" t="str">
        <f t="shared" si="0"/>
        <v>Ecuador</v>
      </c>
      <c r="D64" s="46"/>
      <c r="E64" s="46"/>
      <c r="F64" s="47"/>
      <c r="G64" s="48"/>
      <c r="H64" s="49">
        <f t="shared" si="1"/>
        <v>22</v>
      </c>
      <c r="I64" s="49">
        <f t="shared" si="2"/>
        <v>103</v>
      </c>
      <c r="J64" s="401"/>
      <c r="K64" s="308" t="str">
        <f t="shared" si="3"/>
        <v>Ecuador</v>
      </c>
      <c r="L64" s="405" t="s">
        <v>150</v>
      </c>
      <c r="M64" s="404">
        <v>22</v>
      </c>
      <c r="N64" s="404">
        <v>103</v>
      </c>
      <c r="O64" s="307"/>
      <c r="P64" s="176"/>
      <c r="Q64" s="176"/>
      <c r="R64" s="176"/>
      <c r="S64" s="176"/>
      <c r="T64" s="176"/>
      <c r="U64" s="145"/>
      <c r="V64" s="145"/>
      <c r="W64" s="27"/>
      <c r="X64" s="27"/>
      <c r="Y64" s="27"/>
      <c r="Z64" s="27"/>
      <c r="AA64" s="179"/>
      <c r="AB64" s="179"/>
      <c r="AH64" s="27"/>
    </row>
    <row r="65" spans="2:34" ht="13.5" hidden="1" customHeight="1" x14ac:dyDescent="0.2">
      <c r="B65" s="25"/>
      <c r="C65" s="45" t="str">
        <f t="shared" si="0"/>
        <v>El Salvador</v>
      </c>
      <c r="D65" s="46"/>
      <c r="E65" s="46"/>
      <c r="F65" s="47"/>
      <c r="G65" s="48"/>
      <c r="H65" s="49">
        <f t="shared" si="1"/>
        <v>54</v>
      </c>
      <c r="I65" s="49">
        <f t="shared" si="2"/>
        <v>161</v>
      </c>
      <c r="J65" s="401"/>
      <c r="K65" s="308" t="str">
        <f t="shared" si="3"/>
        <v>El Salvador</v>
      </c>
      <c r="L65" s="405" t="s">
        <v>72</v>
      </c>
      <c r="M65" s="404">
        <v>54</v>
      </c>
      <c r="N65" s="404">
        <v>161</v>
      </c>
      <c r="O65" s="307"/>
      <c r="P65" s="176"/>
      <c r="Q65" s="176"/>
      <c r="R65" s="176"/>
      <c r="S65" s="176"/>
      <c r="T65" s="176"/>
      <c r="U65" s="145"/>
      <c r="V65" s="145"/>
      <c r="W65" s="27"/>
      <c r="X65" s="27"/>
      <c r="Y65" s="27"/>
      <c r="Z65" s="27"/>
      <c r="AA65" s="179"/>
      <c r="AB65" s="179"/>
      <c r="AH65" s="27"/>
    </row>
    <row r="66" spans="2:34" ht="13.5" hidden="1" customHeight="1" x14ac:dyDescent="0.2">
      <c r="B66" s="25"/>
      <c r="C66" s="45" t="str">
        <f t="shared" si="0"/>
        <v>Eritrea</v>
      </c>
      <c r="D66" s="46"/>
      <c r="E66" s="46"/>
      <c r="F66" s="47"/>
      <c r="G66" s="48"/>
      <c r="H66" s="49">
        <f t="shared" si="1"/>
        <v>41</v>
      </c>
      <c r="I66" s="49">
        <f t="shared" si="2"/>
        <v>91</v>
      </c>
      <c r="J66" s="401"/>
      <c r="K66" s="308" t="str">
        <f t="shared" si="3"/>
        <v>Eritrea</v>
      </c>
      <c r="L66" s="405" t="s">
        <v>151</v>
      </c>
      <c r="M66" s="404">
        <v>41</v>
      </c>
      <c r="N66" s="404">
        <v>91</v>
      </c>
      <c r="O66" s="307"/>
      <c r="P66" s="176"/>
      <c r="Q66" s="176"/>
      <c r="R66" s="176"/>
      <c r="S66" s="176"/>
      <c r="T66" s="176"/>
      <c r="U66" s="145"/>
      <c r="V66" s="145"/>
      <c r="W66" s="27"/>
      <c r="X66" s="27"/>
      <c r="Y66" s="27"/>
      <c r="Z66" s="27"/>
      <c r="AA66" s="179"/>
      <c r="AB66" s="179"/>
      <c r="AH66" s="27"/>
    </row>
    <row r="67" spans="2:34" ht="13.5" hidden="1" customHeight="1" x14ac:dyDescent="0.2">
      <c r="B67" s="25"/>
      <c r="C67" s="45" t="str">
        <f t="shared" si="0"/>
        <v>Estland</v>
      </c>
      <c r="D67" s="46"/>
      <c r="E67" s="46"/>
      <c r="F67" s="47"/>
      <c r="G67" s="48"/>
      <c r="H67" s="49">
        <f t="shared" si="1"/>
        <v>24</v>
      </c>
      <c r="I67" s="49">
        <f t="shared" si="2"/>
        <v>85</v>
      </c>
      <c r="J67" s="401"/>
      <c r="K67" s="308" t="str">
        <f t="shared" si="3"/>
        <v>Estland</v>
      </c>
      <c r="L67" s="405" t="s">
        <v>389</v>
      </c>
      <c r="M67" s="404">
        <v>24</v>
      </c>
      <c r="N67" s="404">
        <v>85</v>
      </c>
      <c r="O67" s="307"/>
      <c r="P67" s="181"/>
      <c r="Q67" s="181"/>
      <c r="R67" s="181"/>
      <c r="S67" s="176"/>
      <c r="T67" s="176"/>
      <c r="U67" s="176"/>
      <c r="V67" s="176"/>
      <c r="W67" s="27"/>
      <c r="X67" s="27"/>
      <c r="Y67" s="27"/>
      <c r="Z67" s="27"/>
      <c r="AA67" s="179"/>
      <c r="AB67" s="179"/>
      <c r="AH67" s="27"/>
    </row>
    <row r="68" spans="2:34" ht="13.5" hidden="1" customHeight="1" x14ac:dyDescent="0.2">
      <c r="B68" s="25"/>
      <c r="C68" s="45" t="str">
        <f t="shared" si="0"/>
        <v>Fidschi</v>
      </c>
      <c r="D68" s="46"/>
      <c r="E68" s="46"/>
      <c r="F68" s="47"/>
      <c r="G68" s="48"/>
      <c r="H68" s="49">
        <f t="shared" si="1"/>
        <v>26</v>
      </c>
      <c r="I68" s="49">
        <f t="shared" si="2"/>
        <v>183</v>
      </c>
      <c r="J68" s="401"/>
      <c r="K68" s="308" t="str">
        <f t="shared" si="3"/>
        <v>Fidschi</v>
      </c>
      <c r="L68" s="405" t="s">
        <v>152</v>
      </c>
      <c r="M68" s="404">
        <v>26</v>
      </c>
      <c r="N68" s="404">
        <v>183</v>
      </c>
      <c r="O68" s="307"/>
      <c r="P68" s="181"/>
      <c r="Q68" s="181"/>
      <c r="R68" s="181"/>
      <c r="S68" s="176"/>
      <c r="T68" s="176"/>
      <c r="U68" s="176"/>
      <c r="V68" s="176"/>
      <c r="W68" s="27"/>
      <c r="X68" s="27"/>
      <c r="Y68" s="27"/>
      <c r="Z68" s="27"/>
      <c r="AA68" s="179"/>
      <c r="AB68" s="179"/>
      <c r="AH68" s="27"/>
    </row>
    <row r="69" spans="2:34" ht="13.5" hidden="1" customHeight="1" x14ac:dyDescent="0.2">
      <c r="B69" s="25"/>
      <c r="C69" s="45" t="str">
        <f t="shared" si="0"/>
        <v>Finnland</v>
      </c>
      <c r="D69" s="46"/>
      <c r="E69" s="46"/>
      <c r="F69" s="47"/>
      <c r="G69" s="48"/>
      <c r="H69" s="49">
        <f t="shared" si="1"/>
        <v>45</v>
      </c>
      <c r="I69" s="49">
        <f t="shared" si="2"/>
        <v>171</v>
      </c>
      <c r="J69" s="401"/>
      <c r="K69" s="308" t="str">
        <f t="shared" si="3"/>
        <v>Finnland</v>
      </c>
      <c r="L69" s="405" t="s">
        <v>55</v>
      </c>
      <c r="M69" s="404">
        <v>45</v>
      </c>
      <c r="N69" s="404">
        <v>171</v>
      </c>
      <c r="O69" s="307"/>
      <c r="P69" s="181"/>
      <c r="Q69" s="181"/>
      <c r="R69" s="181"/>
      <c r="S69" s="176"/>
      <c r="T69" s="176"/>
      <c r="U69" s="176"/>
      <c r="V69" s="176"/>
      <c r="W69" s="27"/>
      <c r="X69" s="27"/>
      <c r="Y69" s="27"/>
      <c r="Z69" s="27"/>
      <c r="AA69" s="179"/>
      <c r="AB69" s="179"/>
      <c r="AH69" s="27"/>
    </row>
    <row r="70" spans="2:34" ht="13.5" hidden="1" customHeight="1" x14ac:dyDescent="0.2">
      <c r="B70" s="25"/>
      <c r="C70" s="45" t="str">
        <f t="shared" si="0"/>
        <v>Frankreich - Paris &amp; Île de France</v>
      </c>
      <c r="D70" s="46"/>
      <c r="E70" s="46"/>
      <c r="F70" s="47"/>
      <c r="G70" s="48"/>
      <c r="H70" s="49" t="str">
        <f t="shared" si="1"/>
        <v>48</v>
      </c>
      <c r="I70" s="49" t="str">
        <f t="shared" si="2"/>
        <v>159</v>
      </c>
      <c r="J70" s="401"/>
      <c r="K70" s="308" t="str">
        <f t="shared" si="3"/>
        <v>Frankreich - Paris &amp; Île de France</v>
      </c>
      <c r="L70" s="406" t="s">
        <v>377</v>
      </c>
      <c r="M70" s="406" t="s">
        <v>390</v>
      </c>
      <c r="N70" s="406" t="s">
        <v>391</v>
      </c>
      <c r="O70" s="307"/>
      <c r="P70" s="181"/>
      <c r="Q70" s="181"/>
      <c r="R70" s="181"/>
      <c r="S70" s="176"/>
      <c r="T70" s="176"/>
      <c r="U70" s="176"/>
      <c r="V70" s="176"/>
      <c r="W70" s="27"/>
      <c r="X70" s="27"/>
      <c r="Y70" s="27"/>
      <c r="Z70" s="27"/>
      <c r="AA70" s="179"/>
      <c r="AB70" s="179"/>
      <c r="AH70" s="27"/>
    </row>
    <row r="71" spans="2:34" ht="13.5" hidden="1" customHeight="1" x14ac:dyDescent="0.2">
      <c r="B71" s="25"/>
      <c r="C71" s="45" t="str">
        <f t="shared" si="0"/>
        <v>Frankreich - im Übrigen</v>
      </c>
      <c r="D71" s="46"/>
      <c r="E71" s="46"/>
      <c r="F71" s="47"/>
      <c r="G71" s="48"/>
      <c r="H71" s="49">
        <f t="shared" si="1"/>
        <v>44</v>
      </c>
      <c r="I71" s="49">
        <f t="shared" si="2"/>
        <v>105</v>
      </c>
      <c r="J71" s="401"/>
      <c r="K71" s="308" t="str">
        <f t="shared" si="3"/>
        <v>Frankreich - im Übrigen</v>
      </c>
      <c r="L71" s="407" t="s">
        <v>153</v>
      </c>
      <c r="M71" s="408">
        <v>44</v>
      </c>
      <c r="N71" s="408">
        <v>105</v>
      </c>
      <c r="O71" s="307"/>
      <c r="P71" s="181"/>
      <c r="Q71" s="181"/>
      <c r="R71" s="181"/>
      <c r="S71" s="176"/>
      <c r="T71" s="176"/>
      <c r="U71" s="176"/>
      <c r="V71" s="176"/>
      <c r="W71" s="27"/>
      <c r="X71" s="27"/>
      <c r="Y71" s="27"/>
      <c r="Z71" s="27"/>
      <c r="AA71" s="179"/>
      <c r="AB71" s="179"/>
      <c r="AH71" s="27"/>
    </row>
    <row r="72" spans="2:34" ht="13.5" hidden="1" customHeight="1" x14ac:dyDescent="0.2">
      <c r="B72" s="25"/>
      <c r="C72" s="45" t="str">
        <f t="shared" si="0"/>
        <v>Gabun</v>
      </c>
      <c r="D72" s="46"/>
      <c r="E72" s="46"/>
      <c r="F72" s="47"/>
      <c r="G72" s="48"/>
      <c r="H72" s="49">
        <f t="shared" si="1"/>
        <v>43</v>
      </c>
      <c r="I72" s="49">
        <f t="shared" si="2"/>
        <v>183</v>
      </c>
      <c r="J72" s="401"/>
      <c r="K72" s="308" t="str">
        <f t="shared" si="3"/>
        <v>Gabun</v>
      </c>
      <c r="L72" s="407" t="s">
        <v>154</v>
      </c>
      <c r="M72" s="408">
        <v>43</v>
      </c>
      <c r="N72" s="408">
        <v>183</v>
      </c>
      <c r="O72" s="307"/>
      <c r="P72" s="181"/>
      <c r="Q72" s="181"/>
      <c r="R72" s="181"/>
      <c r="S72" s="176"/>
      <c r="T72" s="176"/>
      <c r="U72" s="176"/>
      <c r="V72" s="176"/>
      <c r="W72" s="27"/>
      <c r="X72" s="27"/>
      <c r="Y72" s="27"/>
      <c r="Z72" s="27"/>
      <c r="AA72" s="179"/>
      <c r="AB72" s="179"/>
      <c r="AH72" s="27"/>
    </row>
    <row r="73" spans="2:34" ht="13.5" hidden="1" customHeight="1" x14ac:dyDescent="0.2">
      <c r="B73" s="25"/>
      <c r="C73" s="45" t="str">
        <f t="shared" si="0"/>
        <v>Gambia</v>
      </c>
      <c r="D73" s="46"/>
      <c r="E73" s="46"/>
      <c r="F73" s="47"/>
      <c r="G73" s="48"/>
      <c r="H73" s="49">
        <f t="shared" si="1"/>
        <v>33</v>
      </c>
      <c r="I73" s="49">
        <f t="shared" si="2"/>
        <v>161</v>
      </c>
      <c r="J73" s="401"/>
      <c r="K73" s="308" t="str">
        <f t="shared" si="3"/>
        <v>Gambia</v>
      </c>
      <c r="L73" s="407" t="s">
        <v>155</v>
      </c>
      <c r="M73" s="408">
        <v>33</v>
      </c>
      <c r="N73" s="408">
        <v>161</v>
      </c>
      <c r="O73" s="307"/>
      <c r="P73" s="181"/>
      <c r="Q73" s="181"/>
      <c r="R73" s="181"/>
      <c r="S73" s="176"/>
      <c r="T73" s="176"/>
      <c r="U73" s="176"/>
      <c r="V73" s="176"/>
      <c r="W73" s="27"/>
      <c r="X73" s="27"/>
      <c r="Y73" s="27"/>
      <c r="Z73" s="27"/>
      <c r="AA73" s="179"/>
      <c r="AB73" s="179"/>
      <c r="AH73" s="27"/>
    </row>
    <row r="74" spans="2:34" ht="13.5" hidden="1" customHeight="1" x14ac:dyDescent="0.2">
      <c r="B74" s="25"/>
      <c r="C74" s="45" t="str">
        <f t="shared" si="0"/>
        <v>Georgien</v>
      </c>
      <c r="D74" s="46"/>
      <c r="E74" s="46"/>
      <c r="F74" s="47"/>
      <c r="G74" s="48"/>
      <c r="H74" s="49">
        <f t="shared" si="1"/>
        <v>37</v>
      </c>
      <c r="I74" s="49">
        <f t="shared" si="2"/>
        <v>87</v>
      </c>
      <c r="J74" s="401"/>
      <c r="K74" s="308" t="str">
        <f t="shared" si="3"/>
        <v>Georgien</v>
      </c>
      <c r="L74" s="407" t="s">
        <v>156</v>
      </c>
      <c r="M74" s="408">
        <v>37</v>
      </c>
      <c r="N74" s="408">
        <v>87</v>
      </c>
      <c r="O74" s="307"/>
      <c r="P74" s="181"/>
      <c r="Q74" s="181"/>
      <c r="R74" s="181"/>
      <c r="S74" s="176"/>
      <c r="T74" s="176"/>
      <c r="U74" s="176"/>
      <c r="V74" s="176"/>
      <c r="W74" s="27"/>
      <c r="X74" s="27"/>
      <c r="Y74" s="27"/>
      <c r="Z74" s="27"/>
      <c r="AA74" s="179"/>
      <c r="AB74" s="179"/>
      <c r="AH74" s="27"/>
    </row>
    <row r="75" spans="2:34" ht="13.5" hidden="1" customHeight="1" x14ac:dyDescent="0.2">
      <c r="B75" s="25"/>
      <c r="C75" s="45" t="str">
        <f t="shared" si="0"/>
        <v>Ghana</v>
      </c>
      <c r="D75" s="46"/>
      <c r="E75" s="46"/>
      <c r="F75" s="47"/>
      <c r="G75" s="48"/>
      <c r="H75" s="49">
        <f t="shared" si="1"/>
        <v>38</v>
      </c>
      <c r="I75" s="49">
        <f t="shared" si="2"/>
        <v>148</v>
      </c>
      <c r="J75" s="401"/>
      <c r="K75" s="308" t="str">
        <f t="shared" si="3"/>
        <v>Ghana</v>
      </c>
      <c r="L75" s="407" t="s">
        <v>157</v>
      </c>
      <c r="M75" s="408">
        <v>38</v>
      </c>
      <c r="N75" s="408">
        <v>148</v>
      </c>
      <c r="O75" s="307"/>
      <c r="P75" s="181"/>
      <c r="Q75" s="181"/>
      <c r="R75" s="181"/>
      <c r="S75" s="176"/>
      <c r="T75" s="176"/>
      <c r="U75" s="176"/>
      <c r="V75" s="176"/>
      <c r="W75" s="27"/>
      <c r="X75" s="27"/>
      <c r="Y75" s="27"/>
      <c r="Z75" s="27"/>
      <c r="AA75" s="179"/>
      <c r="AB75" s="179"/>
      <c r="AH75" s="27"/>
    </row>
    <row r="76" spans="2:34" ht="13.5" hidden="1" customHeight="1" x14ac:dyDescent="0.2">
      <c r="B76" s="25"/>
      <c r="C76" s="45" t="str">
        <f t="shared" si="0"/>
        <v>Griechenland - Athen</v>
      </c>
      <c r="D76" s="46"/>
      <c r="E76" s="46"/>
      <c r="F76" s="47"/>
      <c r="G76" s="48"/>
      <c r="H76" s="49">
        <f t="shared" si="1"/>
        <v>33</v>
      </c>
      <c r="I76" s="49">
        <f t="shared" si="2"/>
        <v>139</v>
      </c>
      <c r="J76" s="401"/>
      <c r="K76" s="308" t="str">
        <f t="shared" si="3"/>
        <v>Griechenland - Athen</v>
      </c>
      <c r="L76" s="407" t="s">
        <v>60</v>
      </c>
      <c r="M76" s="408">
        <v>33</v>
      </c>
      <c r="N76" s="408">
        <v>139</v>
      </c>
      <c r="O76" s="307"/>
      <c r="P76" s="181"/>
      <c r="Q76" s="181"/>
      <c r="R76" s="181"/>
      <c r="S76" s="176"/>
      <c r="T76" s="176"/>
      <c r="U76" s="176"/>
      <c r="V76" s="176"/>
      <c r="W76" s="179"/>
      <c r="X76" s="179"/>
      <c r="Y76" s="179"/>
      <c r="Z76" s="179"/>
      <c r="AA76" s="179"/>
      <c r="AB76" s="179"/>
      <c r="AH76" s="27"/>
    </row>
    <row r="77" spans="2:34" ht="13.5" hidden="1" customHeight="1" x14ac:dyDescent="0.2">
      <c r="B77" s="25"/>
      <c r="C77" s="45" t="str">
        <f t="shared" si="0"/>
        <v>Griechenland - im Übrigen</v>
      </c>
      <c r="D77" s="46"/>
      <c r="E77" s="46"/>
      <c r="F77" s="47"/>
      <c r="G77" s="48"/>
      <c r="H77" s="49">
        <f t="shared" si="1"/>
        <v>30</v>
      </c>
      <c r="I77" s="49">
        <f t="shared" si="2"/>
        <v>150</v>
      </c>
      <c r="J77" s="401"/>
      <c r="K77" s="308" t="str">
        <f t="shared" si="3"/>
        <v>Griechenland - im Übrigen</v>
      </c>
      <c r="L77" s="407" t="s">
        <v>378</v>
      </c>
      <c r="M77" s="408">
        <v>30</v>
      </c>
      <c r="N77" s="408">
        <v>150</v>
      </c>
      <c r="O77" s="307"/>
      <c r="P77" s="181"/>
      <c r="Q77" s="181"/>
      <c r="R77" s="181"/>
      <c r="S77" s="176"/>
      <c r="T77" s="176"/>
      <c r="U77" s="176"/>
      <c r="V77" s="176"/>
      <c r="W77" s="179"/>
      <c r="X77" s="179"/>
      <c r="Y77" s="179"/>
      <c r="Z77" s="179"/>
      <c r="AA77" s="179"/>
      <c r="AB77" s="179"/>
      <c r="AH77" s="27"/>
    </row>
    <row r="78" spans="2:34" ht="13.5" hidden="1" customHeight="1" x14ac:dyDescent="0.2">
      <c r="B78" s="25"/>
      <c r="C78" s="45" t="str">
        <f t="shared" si="0"/>
        <v>Guatemala</v>
      </c>
      <c r="D78" s="46"/>
      <c r="E78" s="46"/>
      <c r="F78" s="47"/>
      <c r="G78" s="48"/>
      <c r="H78" s="49">
        <f t="shared" si="1"/>
        <v>28</v>
      </c>
      <c r="I78" s="49">
        <f t="shared" si="2"/>
        <v>90</v>
      </c>
      <c r="J78" s="401"/>
      <c r="K78" s="308" t="str">
        <f t="shared" si="3"/>
        <v>Guatemala</v>
      </c>
      <c r="L78" s="407" t="s">
        <v>158</v>
      </c>
      <c r="M78" s="408">
        <v>28</v>
      </c>
      <c r="N78" s="408">
        <v>90</v>
      </c>
      <c r="O78" s="307"/>
      <c r="P78" s="181"/>
      <c r="Q78" s="181"/>
      <c r="R78" s="181"/>
      <c r="S78" s="176"/>
      <c r="T78" s="176"/>
      <c r="U78" s="176"/>
      <c r="V78" s="176"/>
      <c r="W78" s="179"/>
      <c r="X78" s="179"/>
      <c r="Y78" s="179"/>
      <c r="Z78" s="179"/>
      <c r="AA78" s="179"/>
      <c r="AB78" s="179"/>
      <c r="AH78" s="27"/>
    </row>
    <row r="79" spans="2:34" ht="13.5" hidden="1" customHeight="1" x14ac:dyDescent="0.2">
      <c r="B79" s="25"/>
      <c r="C79" s="45" t="str">
        <f t="shared" si="0"/>
        <v>Guinea</v>
      </c>
      <c r="D79" s="46"/>
      <c r="E79" s="46"/>
      <c r="F79" s="47"/>
      <c r="G79" s="48"/>
      <c r="H79" s="49">
        <f t="shared" si="1"/>
        <v>49</v>
      </c>
      <c r="I79" s="49">
        <f t="shared" si="2"/>
        <v>140</v>
      </c>
      <c r="J79" s="401"/>
      <c r="K79" s="308" t="str">
        <f t="shared" si="3"/>
        <v>Guinea</v>
      </c>
      <c r="L79" s="407" t="s">
        <v>159</v>
      </c>
      <c r="M79" s="408">
        <v>49</v>
      </c>
      <c r="N79" s="408">
        <v>140</v>
      </c>
      <c r="O79" s="307"/>
      <c r="P79" s="181"/>
      <c r="Q79" s="181"/>
      <c r="R79" s="181"/>
      <c r="S79" s="176"/>
      <c r="T79" s="176"/>
      <c r="U79" s="176"/>
      <c r="V79" s="176"/>
      <c r="W79" s="179"/>
      <c r="X79" s="179"/>
      <c r="Y79" s="179"/>
      <c r="Z79" s="179"/>
      <c r="AA79" s="179"/>
      <c r="AB79" s="179"/>
      <c r="AH79" s="27"/>
    </row>
    <row r="80" spans="2:34" ht="13.5" hidden="1" customHeight="1" x14ac:dyDescent="0.2">
      <c r="B80" s="25"/>
      <c r="C80" s="45" t="str">
        <f t="shared" si="0"/>
        <v>Guinea-Bissau</v>
      </c>
      <c r="D80" s="46"/>
      <c r="E80" s="46"/>
      <c r="F80" s="87"/>
      <c r="G80" s="88"/>
      <c r="H80" s="49">
        <f t="shared" si="1"/>
        <v>26</v>
      </c>
      <c r="I80" s="49">
        <f t="shared" si="2"/>
        <v>113</v>
      </c>
      <c r="J80" s="401"/>
      <c r="K80" s="308" t="str">
        <f t="shared" si="3"/>
        <v>Guinea-Bissau</v>
      </c>
      <c r="L80" s="405" t="s">
        <v>392</v>
      </c>
      <c r="M80" s="408">
        <v>26</v>
      </c>
      <c r="N80" s="408">
        <v>113</v>
      </c>
      <c r="O80" s="307"/>
      <c r="P80" s="181"/>
      <c r="Q80" s="181"/>
      <c r="R80" s="181"/>
      <c r="S80" s="176"/>
      <c r="T80" s="176"/>
      <c r="U80" s="176"/>
      <c r="V80" s="176"/>
      <c r="W80" s="179"/>
      <c r="X80" s="179"/>
      <c r="Y80" s="179"/>
      <c r="Z80" s="179"/>
      <c r="AA80" s="179"/>
      <c r="AB80" s="179"/>
      <c r="AH80" s="27"/>
    </row>
    <row r="81" spans="2:34" ht="13.5" hidden="1" customHeight="1" x14ac:dyDescent="0.2">
      <c r="B81" s="25"/>
      <c r="C81" s="45" t="str">
        <f t="shared" si="0"/>
        <v>Haiti</v>
      </c>
      <c r="D81" s="46"/>
      <c r="E81" s="46"/>
      <c r="F81" s="87"/>
      <c r="G81" s="88"/>
      <c r="H81" s="49">
        <f t="shared" si="1"/>
        <v>48</v>
      </c>
      <c r="I81" s="49">
        <f t="shared" si="2"/>
        <v>130</v>
      </c>
      <c r="J81" s="401"/>
      <c r="K81" s="308" t="str">
        <f t="shared" si="3"/>
        <v>Haiti</v>
      </c>
      <c r="L81" s="407" t="s">
        <v>160</v>
      </c>
      <c r="M81" s="408">
        <v>48</v>
      </c>
      <c r="N81" s="408">
        <v>130</v>
      </c>
      <c r="O81" s="307"/>
      <c r="P81" s="181"/>
      <c r="Q81" s="181"/>
      <c r="R81" s="181"/>
      <c r="S81" s="176"/>
      <c r="T81" s="176"/>
      <c r="U81" s="176"/>
      <c r="V81" s="176"/>
      <c r="W81" s="179"/>
      <c r="X81" s="179"/>
      <c r="Y81" s="179"/>
      <c r="Z81" s="179"/>
      <c r="AA81" s="179"/>
      <c r="AB81" s="179"/>
      <c r="AH81" s="27"/>
    </row>
    <row r="82" spans="2:34" ht="13.5" hidden="1" customHeight="1" x14ac:dyDescent="0.2">
      <c r="B82" s="25"/>
      <c r="C82" s="45" t="str">
        <f t="shared" si="0"/>
        <v>Honduras</v>
      </c>
      <c r="D82" s="46"/>
      <c r="E82" s="46"/>
      <c r="F82" s="47"/>
      <c r="G82" s="48"/>
      <c r="H82" s="49">
        <f t="shared" si="1"/>
        <v>47</v>
      </c>
      <c r="I82" s="49">
        <f t="shared" si="2"/>
        <v>198</v>
      </c>
      <c r="J82" s="401"/>
      <c r="K82" s="308" t="str">
        <f t="shared" si="3"/>
        <v>Honduras</v>
      </c>
      <c r="L82" s="407" t="s">
        <v>161</v>
      </c>
      <c r="M82" s="408">
        <v>47</v>
      </c>
      <c r="N82" s="408">
        <v>198</v>
      </c>
      <c r="O82" s="307"/>
      <c r="P82" s="181"/>
      <c r="Q82" s="181"/>
      <c r="R82" s="181"/>
      <c r="S82" s="176"/>
      <c r="T82" s="176"/>
      <c r="U82" s="176"/>
      <c r="V82" s="176"/>
      <c r="W82" s="179"/>
      <c r="X82" s="179"/>
      <c r="Y82" s="179"/>
      <c r="Z82" s="179"/>
      <c r="AA82" s="179"/>
      <c r="AB82" s="179"/>
      <c r="AH82" s="27"/>
    </row>
    <row r="83" spans="2:34" ht="13.5" hidden="1" customHeight="1" x14ac:dyDescent="0.2">
      <c r="B83" s="25"/>
      <c r="C83" s="45" t="str">
        <f t="shared" si="0"/>
        <v>Indien - Bangalore</v>
      </c>
      <c r="D83" s="46"/>
      <c r="E83" s="46"/>
      <c r="F83" s="47"/>
      <c r="G83" s="48"/>
      <c r="H83" s="49">
        <f t="shared" si="1"/>
        <v>35</v>
      </c>
      <c r="I83" s="49">
        <f t="shared" si="2"/>
        <v>155</v>
      </c>
      <c r="J83" s="401"/>
      <c r="K83" s="308" t="str">
        <f t="shared" si="3"/>
        <v>Indien - Bangalore</v>
      </c>
      <c r="L83" s="405" t="s">
        <v>372</v>
      </c>
      <c r="M83" s="408">
        <v>35</v>
      </c>
      <c r="N83" s="408">
        <v>155</v>
      </c>
      <c r="O83" s="307"/>
      <c r="P83" s="181"/>
      <c r="Q83" s="181"/>
      <c r="R83" s="181"/>
      <c r="S83" s="176"/>
      <c r="T83" s="176"/>
      <c r="U83" s="176"/>
      <c r="V83" s="176"/>
      <c r="W83" s="179"/>
      <c r="X83" s="179"/>
      <c r="Y83" s="179"/>
      <c r="Z83" s="179"/>
      <c r="AA83" s="179"/>
      <c r="AB83" s="179"/>
      <c r="AH83" s="27"/>
    </row>
    <row r="84" spans="2:34" ht="13.5" hidden="1" customHeight="1" x14ac:dyDescent="0.2">
      <c r="B84" s="25"/>
      <c r="C84" s="45" t="str">
        <f t="shared" si="0"/>
        <v>Indien - Chennai</v>
      </c>
      <c r="D84" s="46"/>
      <c r="E84" s="46"/>
      <c r="F84" s="47"/>
      <c r="G84" s="48"/>
      <c r="H84" s="49">
        <f t="shared" si="1"/>
        <v>26</v>
      </c>
      <c r="I84" s="49">
        <f t="shared" si="2"/>
        <v>85</v>
      </c>
      <c r="J84" s="401"/>
      <c r="K84" s="308" t="str">
        <f t="shared" si="3"/>
        <v>Indien - Chennai</v>
      </c>
      <c r="L84" s="407" t="s">
        <v>162</v>
      </c>
      <c r="M84" s="408">
        <v>26</v>
      </c>
      <c r="N84" s="408">
        <v>85</v>
      </c>
      <c r="O84" s="307"/>
      <c r="P84" s="181"/>
      <c r="Q84" s="181"/>
      <c r="R84" s="181"/>
      <c r="S84" s="176"/>
      <c r="T84" s="176"/>
      <c r="U84" s="176"/>
      <c r="V84" s="176"/>
      <c r="W84" s="179"/>
      <c r="X84" s="179"/>
      <c r="Y84" s="179"/>
      <c r="Z84" s="179"/>
      <c r="AA84" s="179"/>
      <c r="AB84" s="179"/>
      <c r="AH84" s="27"/>
    </row>
    <row r="85" spans="2:34" ht="13.5" hidden="1" customHeight="1" x14ac:dyDescent="0.2">
      <c r="B85" s="25"/>
      <c r="C85" s="45" t="str">
        <f t="shared" si="0"/>
        <v>Indien - Kalkutta</v>
      </c>
      <c r="D85" s="46"/>
      <c r="E85" s="46"/>
      <c r="F85" s="47"/>
      <c r="G85" s="48"/>
      <c r="H85" s="49">
        <f t="shared" si="1"/>
        <v>29</v>
      </c>
      <c r="I85" s="49">
        <f t="shared" si="2"/>
        <v>145</v>
      </c>
      <c r="J85" s="401"/>
      <c r="K85" s="308" t="str">
        <f t="shared" si="3"/>
        <v>Indien - Kalkutta</v>
      </c>
      <c r="L85" s="407" t="s">
        <v>393</v>
      </c>
      <c r="M85" s="408">
        <v>29</v>
      </c>
      <c r="N85" s="408">
        <v>145</v>
      </c>
      <c r="O85" s="307"/>
      <c r="P85" s="181"/>
      <c r="Q85" s="181"/>
      <c r="R85" s="181"/>
      <c r="S85" s="176"/>
      <c r="T85" s="176"/>
      <c r="U85" s="176"/>
      <c r="V85" s="176"/>
      <c r="W85" s="179"/>
      <c r="X85" s="179"/>
      <c r="Y85" s="179"/>
      <c r="Z85" s="179"/>
      <c r="AA85" s="179"/>
      <c r="AB85" s="179"/>
      <c r="AH85" s="27"/>
    </row>
    <row r="86" spans="2:34" ht="13.5" hidden="1" customHeight="1" x14ac:dyDescent="0.2">
      <c r="B86" s="25"/>
      <c r="C86" s="45" t="str">
        <f t="shared" ref="C86:C149" si="4">K86</f>
        <v>Indien - Mumbai</v>
      </c>
      <c r="D86" s="46"/>
      <c r="E86" s="46"/>
      <c r="F86" s="47"/>
      <c r="G86" s="48"/>
      <c r="H86" s="49">
        <f t="shared" ref="H86:H149" si="5">IF($C$260=3,M86,IF($C$260=6,M86,$H$250))</f>
        <v>41</v>
      </c>
      <c r="I86" s="49">
        <f t="shared" ref="I86:I149" si="6">IF($C$260=3,N86,IF($C$260=6,N86,$H$251))</f>
        <v>146</v>
      </c>
      <c r="J86" s="401"/>
      <c r="K86" s="308" t="str">
        <f t="shared" ref="K86:K149" si="7">IF($C$260=3,L86,IF($C$260=6,L86,$H$254))</f>
        <v>Indien - Mumbai</v>
      </c>
      <c r="L86" s="407" t="s">
        <v>256</v>
      </c>
      <c r="M86" s="408">
        <v>41</v>
      </c>
      <c r="N86" s="408">
        <v>146</v>
      </c>
      <c r="O86" s="307"/>
      <c r="P86" s="181"/>
      <c r="Q86" s="181"/>
      <c r="R86" s="181"/>
      <c r="S86" s="176"/>
      <c r="T86" s="176"/>
      <c r="U86" s="176"/>
      <c r="V86" s="176"/>
      <c r="W86" s="179"/>
      <c r="X86" s="179"/>
      <c r="Y86" s="179"/>
      <c r="Z86" s="179"/>
      <c r="AA86" s="179"/>
      <c r="AB86" s="179"/>
      <c r="AH86" s="27"/>
    </row>
    <row r="87" spans="2:34" ht="13.5" hidden="1" customHeight="1" x14ac:dyDescent="0.2">
      <c r="B87" s="25"/>
      <c r="C87" s="45" t="str">
        <f t="shared" si="4"/>
        <v>Indien - Neu Delhi</v>
      </c>
      <c r="D87" s="46"/>
      <c r="E87" s="46"/>
      <c r="F87" s="47"/>
      <c r="G87" s="48"/>
      <c r="H87" s="49">
        <f t="shared" si="5"/>
        <v>31</v>
      </c>
      <c r="I87" s="49">
        <f t="shared" si="6"/>
        <v>185</v>
      </c>
      <c r="J87" s="401"/>
      <c r="K87" s="308" t="str">
        <f t="shared" si="7"/>
        <v>Indien - Neu Delhi</v>
      </c>
      <c r="L87" s="407" t="s">
        <v>74</v>
      </c>
      <c r="M87" s="408">
        <v>31</v>
      </c>
      <c r="N87" s="408">
        <v>185</v>
      </c>
      <c r="O87" s="307"/>
      <c r="P87" s="181"/>
      <c r="Q87" s="181"/>
      <c r="R87" s="181"/>
      <c r="S87" s="176"/>
      <c r="T87" s="176"/>
      <c r="U87" s="176"/>
      <c r="V87" s="176"/>
      <c r="W87" s="179"/>
      <c r="X87" s="179"/>
      <c r="Y87" s="179"/>
      <c r="Z87" s="179"/>
      <c r="AA87" s="179"/>
      <c r="AB87" s="179"/>
      <c r="AH87" s="27"/>
    </row>
    <row r="88" spans="2:34" ht="13.5" hidden="1" customHeight="1" x14ac:dyDescent="0.2">
      <c r="B88" s="25"/>
      <c r="C88" s="45" t="str">
        <f t="shared" si="4"/>
        <v>Indien - im Übrigen</v>
      </c>
      <c r="D88" s="46"/>
      <c r="E88" s="46"/>
      <c r="F88" s="47"/>
      <c r="G88" s="48"/>
      <c r="H88" s="49">
        <f t="shared" si="5"/>
        <v>26</v>
      </c>
      <c r="I88" s="49">
        <f t="shared" si="6"/>
        <v>85</v>
      </c>
      <c r="J88" s="401"/>
      <c r="K88" s="308" t="str">
        <f t="shared" si="7"/>
        <v>Indien - im Übrigen</v>
      </c>
      <c r="L88" s="407" t="s">
        <v>163</v>
      </c>
      <c r="M88" s="408">
        <v>26</v>
      </c>
      <c r="N88" s="408">
        <v>85</v>
      </c>
      <c r="O88" s="307"/>
      <c r="P88" s="181"/>
      <c r="Q88" s="181"/>
      <c r="R88" s="181"/>
      <c r="S88" s="176"/>
      <c r="T88" s="176"/>
      <c r="U88" s="176"/>
      <c r="V88" s="176"/>
      <c r="W88" s="179"/>
      <c r="X88" s="179"/>
      <c r="Y88" s="179"/>
      <c r="Z88" s="179"/>
      <c r="AA88" s="179"/>
      <c r="AB88" s="179"/>
      <c r="AH88" s="27"/>
    </row>
    <row r="89" spans="2:34" ht="13.5" hidden="1" customHeight="1" x14ac:dyDescent="0.2">
      <c r="B89" s="25"/>
      <c r="C89" s="45" t="str">
        <f t="shared" si="4"/>
        <v>Indonesien</v>
      </c>
      <c r="D89" s="46"/>
      <c r="E89" s="46"/>
      <c r="F89" s="47"/>
      <c r="G89" s="48"/>
      <c r="H89" s="49">
        <f t="shared" si="5"/>
        <v>30</v>
      </c>
      <c r="I89" s="49">
        <f t="shared" si="6"/>
        <v>134</v>
      </c>
      <c r="J89" s="401"/>
      <c r="K89" s="308" t="str">
        <f t="shared" si="7"/>
        <v>Indonesien</v>
      </c>
      <c r="L89" s="407" t="s">
        <v>164</v>
      </c>
      <c r="M89" s="408">
        <v>30</v>
      </c>
      <c r="N89" s="408">
        <v>134</v>
      </c>
      <c r="O89" s="307"/>
      <c r="P89" s="181"/>
      <c r="Q89" s="181"/>
      <c r="R89" s="181"/>
      <c r="S89" s="176"/>
      <c r="T89" s="176"/>
      <c r="U89" s="176"/>
      <c r="V89" s="176"/>
      <c r="W89" s="179"/>
      <c r="X89" s="179"/>
      <c r="Y89" s="179"/>
      <c r="Z89" s="179"/>
      <c r="AA89" s="179"/>
      <c r="AB89" s="179"/>
      <c r="AH89" s="27"/>
    </row>
    <row r="90" spans="2:34" ht="13.5" hidden="1" customHeight="1" x14ac:dyDescent="0.2">
      <c r="B90" s="25"/>
      <c r="C90" s="45" t="str">
        <f t="shared" si="4"/>
        <v>Iran</v>
      </c>
      <c r="D90" s="46"/>
      <c r="E90" s="46"/>
      <c r="F90" s="47"/>
      <c r="G90" s="48"/>
      <c r="H90" s="49">
        <f t="shared" si="5"/>
        <v>27</v>
      </c>
      <c r="I90" s="49">
        <f t="shared" si="6"/>
        <v>196</v>
      </c>
      <c r="J90" s="401"/>
      <c r="K90" s="308" t="str">
        <f t="shared" si="7"/>
        <v>Iran</v>
      </c>
      <c r="L90" s="407" t="s">
        <v>165</v>
      </c>
      <c r="M90" s="408">
        <v>27</v>
      </c>
      <c r="N90" s="408">
        <v>196</v>
      </c>
      <c r="O90" s="307"/>
      <c r="P90" s="181"/>
      <c r="Q90" s="181"/>
      <c r="R90" s="181"/>
      <c r="S90" s="176"/>
      <c r="T90" s="176"/>
      <c r="U90" s="176"/>
      <c r="V90" s="176"/>
      <c r="W90" s="179"/>
      <c r="X90" s="179"/>
      <c r="Y90" s="179"/>
      <c r="Z90" s="179"/>
      <c r="AA90" s="179"/>
      <c r="AB90" s="179"/>
      <c r="AH90" s="27"/>
    </row>
    <row r="91" spans="2:34" ht="13.5" hidden="1" customHeight="1" x14ac:dyDescent="0.2">
      <c r="B91" s="25"/>
      <c r="C91" s="45" t="str">
        <f t="shared" si="4"/>
        <v>Irland</v>
      </c>
      <c r="D91" s="46"/>
      <c r="E91" s="46"/>
      <c r="F91" s="47"/>
      <c r="G91" s="48"/>
      <c r="H91" s="49">
        <f t="shared" si="5"/>
        <v>48</v>
      </c>
      <c r="I91" s="49">
        <f t="shared" si="6"/>
        <v>129</v>
      </c>
      <c r="J91" s="401"/>
      <c r="K91" s="308" t="str">
        <f t="shared" si="7"/>
        <v>Irland</v>
      </c>
      <c r="L91" s="407" t="s">
        <v>36</v>
      </c>
      <c r="M91" s="408">
        <v>48</v>
      </c>
      <c r="N91" s="408">
        <v>129</v>
      </c>
      <c r="O91" s="307"/>
      <c r="P91" s="181"/>
      <c r="Q91" s="181"/>
      <c r="R91" s="181"/>
      <c r="S91" s="176"/>
      <c r="T91" s="176"/>
      <c r="U91" s="176"/>
      <c r="V91" s="176"/>
      <c r="W91" s="179"/>
      <c r="X91" s="179"/>
      <c r="Y91" s="179"/>
      <c r="Z91" s="179"/>
      <c r="AA91" s="179"/>
      <c r="AB91" s="179"/>
      <c r="AH91" s="27"/>
    </row>
    <row r="92" spans="2:34" ht="13.5" hidden="1" customHeight="1" x14ac:dyDescent="0.2">
      <c r="B92" s="25"/>
      <c r="C92" s="45" t="str">
        <f t="shared" si="4"/>
        <v>Island</v>
      </c>
      <c r="D92" s="46"/>
      <c r="E92" s="46"/>
      <c r="F92" s="47"/>
      <c r="G92" s="48"/>
      <c r="H92" s="49">
        <f t="shared" si="5"/>
        <v>51</v>
      </c>
      <c r="I92" s="49">
        <f t="shared" si="6"/>
        <v>187</v>
      </c>
      <c r="J92" s="401"/>
      <c r="K92" s="308" t="str">
        <f t="shared" si="7"/>
        <v>Island</v>
      </c>
      <c r="L92" s="407" t="s">
        <v>56</v>
      </c>
      <c r="M92" s="408">
        <v>51</v>
      </c>
      <c r="N92" s="408">
        <v>187</v>
      </c>
      <c r="O92" s="307"/>
      <c r="P92" s="181"/>
      <c r="Q92" s="181"/>
      <c r="R92" s="181"/>
      <c r="S92" s="176"/>
      <c r="T92" s="176"/>
      <c r="U92" s="176"/>
      <c r="V92" s="176"/>
      <c r="W92" s="179"/>
      <c r="X92" s="179"/>
      <c r="Y92" s="179"/>
      <c r="Z92" s="179"/>
      <c r="AA92" s="179"/>
      <c r="AB92" s="179"/>
      <c r="AH92" s="27"/>
    </row>
    <row r="93" spans="2:34" ht="13.5" hidden="1" customHeight="1" x14ac:dyDescent="0.2">
      <c r="B93" s="25"/>
      <c r="C93" s="45" t="str">
        <f t="shared" si="4"/>
        <v>Israel</v>
      </c>
      <c r="D93" s="46"/>
      <c r="E93" s="46"/>
      <c r="F93" s="47"/>
      <c r="G93" s="48"/>
      <c r="H93" s="49">
        <f t="shared" si="5"/>
        <v>55</v>
      </c>
      <c r="I93" s="49">
        <f t="shared" si="6"/>
        <v>190</v>
      </c>
      <c r="J93" s="401"/>
      <c r="K93" s="308" t="str">
        <f t="shared" si="7"/>
        <v>Israel</v>
      </c>
      <c r="L93" s="407" t="s">
        <v>394</v>
      </c>
      <c r="M93" s="408">
        <v>55</v>
      </c>
      <c r="N93" s="408">
        <v>190</v>
      </c>
      <c r="O93" s="307"/>
      <c r="P93" s="181"/>
      <c r="Q93" s="181"/>
      <c r="R93" s="181"/>
      <c r="S93" s="176"/>
      <c r="T93" s="176"/>
      <c r="U93" s="176"/>
      <c r="V93" s="176"/>
      <c r="W93" s="179"/>
      <c r="X93" s="179"/>
      <c r="Y93" s="179"/>
      <c r="Z93" s="179"/>
      <c r="AA93" s="179"/>
      <c r="AB93" s="179"/>
      <c r="AH93" s="27"/>
    </row>
    <row r="94" spans="2:34" ht="13.5" hidden="1" customHeight="1" x14ac:dyDescent="0.2">
      <c r="B94" s="25"/>
      <c r="C94" s="45" t="str">
        <f t="shared" si="4"/>
        <v>Italien - Mailand</v>
      </c>
      <c r="D94" s="46"/>
      <c r="E94" s="46"/>
      <c r="F94" s="47"/>
      <c r="G94" s="48"/>
      <c r="H94" s="49">
        <f t="shared" si="5"/>
        <v>35</v>
      </c>
      <c r="I94" s="49">
        <f t="shared" si="6"/>
        <v>191</v>
      </c>
      <c r="J94" s="401"/>
      <c r="K94" s="308" t="str">
        <f t="shared" si="7"/>
        <v>Italien - Mailand</v>
      </c>
      <c r="L94" s="407" t="s">
        <v>62</v>
      </c>
      <c r="M94" s="408">
        <v>35</v>
      </c>
      <c r="N94" s="408">
        <v>191</v>
      </c>
      <c r="O94" s="307"/>
      <c r="P94" s="181"/>
      <c r="Q94" s="181"/>
      <c r="R94" s="181"/>
      <c r="S94" s="176"/>
      <c r="T94" s="176"/>
      <c r="U94" s="176"/>
      <c r="V94" s="176"/>
      <c r="W94" s="179"/>
      <c r="X94" s="179"/>
      <c r="Y94" s="179"/>
      <c r="Z94" s="179"/>
      <c r="AA94" s="179"/>
      <c r="AB94" s="179"/>
      <c r="AH94" s="27"/>
    </row>
    <row r="95" spans="2:34" ht="13.5" hidden="1" customHeight="1" x14ac:dyDescent="0.2">
      <c r="B95" s="25"/>
      <c r="C95" s="45" t="str">
        <f>K95</f>
        <v>Italien - Rom</v>
      </c>
      <c r="D95" s="46"/>
      <c r="E95" s="46"/>
      <c r="F95" s="47"/>
      <c r="G95" s="48"/>
      <c r="H95" s="49">
        <f t="shared" si="5"/>
        <v>40</v>
      </c>
      <c r="I95" s="49">
        <f t="shared" si="6"/>
        <v>150</v>
      </c>
      <c r="J95" s="401"/>
      <c r="K95" s="308" t="str">
        <f t="shared" si="7"/>
        <v>Italien - Rom</v>
      </c>
      <c r="L95" s="407" t="s">
        <v>379</v>
      </c>
      <c r="M95" s="408">
        <v>40</v>
      </c>
      <c r="N95" s="408">
        <v>150</v>
      </c>
      <c r="O95" s="307"/>
      <c r="P95" s="181"/>
      <c r="Q95" s="181"/>
      <c r="R95" s="181"/>
      <c r="S95" s="176"/>
      <c r="T95" s="176"/>
      <c r="U95" s="176"/>
      <c r="V95" s="176"/>
      <c r="W95" s="179"/>
      <c r="X95" s="179"/>
      <c r="Y95" s="179"/>
      <c r="Z95" s="179"/>
      <c r="AA95" s="179"/>
      <c r="AB95" s="179"/>
      <c r="AH95" s="27"/>
    </row>
    <row r="96" spans="2:34" ht="13.5" hidden="1" customHeight="1" x14ac:dyDescent="0.2">
      <c r="B96" s="25"/>
      <c r="C96" s="45" t="str">
        <f t="shared" si="4"/>
        <v>Italien - im Übrigen</v>
      </c>
      <c r="D96" s="46"/>
      <c r="E96" s="46"/>
      <c r="F96" s="47"/>
      <c r="G96" s="48"/>
      <c r="H96" s="49">
        <f t="shared" si="5"/>
        <v>35</v>
      </c>
      <c r="I96" s="49">
        <f t="shared" si="6"/>
        <v>150</v>
      </c>
      <c r="J96" s="401"/>
      <c r="K96" s="308" t="str">
        <f t="shared" si="7"/>
        <v>Italien - im Übrigen</v>
      </c>
      <c r="L96" s="407" t="s">
        <v>166</v>
      </c>
      <c r="M96" s="408">
        <v>35</v>
      </c>
      <c r="N96" s="408">
        <v>150</v>
      </c>
      <c r="O96" s="307"/>
      <c r="P96" s="181"/>
      <c r="Q96" s="181"/>
      <c r="R96" s="181"/>
      <c r="S96" s="176"/>
      <c r="T96" s="176"/>
      <c r="U96" s="176"/>
      <c r="V96" s="176"/>
      <c r="W96" s="179"/>
      <c r="X96" s="179"/>
      <c r="Y96" s="179"/>
      <c r="Z96" s="179"/>
      <c r="AA96" s="179"/>
      <c r="AB96" s="179"/>
      <c r="AH96" s="27"/>
    </row>
    <row r="97" spans="2:34" ht="13.5" hidden="1" customHeight="1" x14ac:dyDescent="0.2">
      <c r="B97" s="25"/>
      <c r="C97" s="45" t="str">
        <f t="shared" si="4"/>
        <v>Jamaika</v>
      </c>
      <c r="D97" s="46"/>
      <c r="E97" s="46"/>
      <c r="F97" s="47"/>
      <c r="G97" s="48"/>
      <c r="H97" s="49">
        <f t="shared" si="5"/>
        <v>32</v>
      </c>
      <c r="I97" s="49">
        <f t="shared" si="6"/>
        <v>171</v>
      </c>
      <c r="J97" s="401"/>
      <c r="K97" s="308" t="str">
        <f t="shared" si="7"/>
        <v>Jamaika</v>
      </c>
      <c r="L97" s="407" t="s">
        <v>167</v>
      </c>
      <c r="M97" s="408">
        <v>32</v>
      </c>
      <c r="N97" s="408">
        <v>171</v>
      </c>
      <c r="O97" s="307"/>
      <c r="P97" s="181"/>
      <c r="Q97" s="181"/>
      <c r="R97" s="181"/>
      <c r="S97" s="176"/>
      <c r="T97" s="176"/>
      <c r="U97" s="176"/>
      <c r="V97" s="176"/>
      <c r="W97" s="179"/>
      <c r="X97" s="179"/>
      <c r="Y97" s="179"/>
      <c r="Z97" s="179"/>
      <c r="AA97" s="179"/>
      <c r="AB97" s="179"/>
      <c r="AH97" s="27"/>
    </row>
    <row r="98" spans="2:34" ht="13.5" hidden="1" customHeight="1" x14ac:dyDescent="0.2">
      <c r="B98" s="25"/>
      <c r="C98" s="45" t="str">
        <f t="shared" si="4"/>
        <v>Japan - Tokio</v>
      </c>
      <c r="D98" s="46"/>
      <c r="E98" s="46"/>
      <c r="F98" s="47"/>
      <c r="G98" s="48"/>
      <c r="H98" s="49">
        <f t="shared" si="5"/>
        <v>41</v>
      </c>
      <c r="I98" s="49">
        <f t="shared" si="6"/>
        <v>285</v>
      </c>
      <c r="J98" s="401"/>
      <c r="K98" s="308" t="str">
        <f t="shared" si="7"/>
        <v>Japan - Tokio</v>
      </c>
      <c r="L98" s="407" t="s">
        <v>75</v>
      </c>
      <c r="M98" s="408">
        <v>41</v>
      </c>
      <c r="N98" s="408">
        <v>285</v>
      </c>
      <c r="O98" s="307"/>
      <c r="P98" s="181"/>
      <c r="Q98" s="181"/>
      <c r="R98" s="181"/>
      <c r="S98" s="176"/>
      <c r="T98" s="176"/>
      <c r="U98" s="176"/>
      <c r="V98" s="176"/>
      <c r="W98" s="179"/>
      <c r="X98" s="179"/>
      <c r="Y98" s="179"/>
      <c r="Z98" s="179"/>
      <c r="AA98" s="179"/>
      <c r="AB98" s="179"/>
      <c r="AH98" s="27"/>
    </row>
    <row r="99" spans="2:34" ht="13.5" hidden="1" customHeight="1" x14ac:dyDescent="0.2">
      <c r="B99" s="25"/>
      <c r="C99" s="45" t="str">
        <f t="shared" si="4"/>
        <v>Japan - im Übrigen</v>
      </c>
      <c r="D99" s="46"/>
      <c r="E99" s="46"/>
      <c r="F99" s="47"/>
      <c r="G99" s="48"/>
      <c r="H99" s="49">
        <f t="shared" si="5"/>
        <v>43</v>
      </c>
      <c r="I99" s="49">
        <f t="shared" si="6"/>
        <v>190</v>
      </c>
      <c r="J99" s="401"/>
      <c r="K99" s="308" t="str">
        <f t="shared" si="7"/>
        <v>Japan - im Übrigen</v>
      </c>
      <c r="L99" s="407" t="s">
        <v>168</v>
      </c>
      <c r="M99" s="408">
        <v>43</v>
      </c>
      <c r="N99" s="408">
        <v>190</v>
      </c>
      <c r="O99" s="307"/>
      <c r="P99" s="181"/>
      <c r="Q99" s="181"/>
      <c r="R99" s="181"/>
      <c r="S99" s="176"/>
      <c r="T99" s="176"/>
      <c r="U99" s="176"/>
      <c r="V99" s="176"/>
      <c r="W99" s="179"/>
      <c r="X99" s="179"/>
      <c r="Y99" s="179"/>
      <c r="Z99" s="179"/>
      <c r="AA99" s="179"/>
      <c r="AB99" s="179"/>
      <c r="AH99" s="27"/>
    </row>
    <row r="100" spans="2:34" ht="13.5" hidden="1" customHeight="1" x14ac:dyDescent="0.2">
      <c r="B100" s="25"/>
      <c r="C100" s="45" t="str">
        <f t="shared" si="4"/>
        <v>Jemen</v>
      </c>
      <c r="D100" s="46"/>
      <c r="E100" s="46"/>
      <c r="F100" s="47"/>
      <c r="G100" s="48"/>
      <c r="H100" s="49">
        <f t="shared" si="5"/>
        <v>20</v>
      </c>
      <c r="I100" s="49">
        <f t="shared" si="6"/>
        <v>95</v>
      </c>
      <c r="J100" s="401"/>
      <c r="K100" s="308" t="str">
        <f t="shared" si="7"/>
        <v>Jemen</v>
      </c>
      <c r="L100" s="407" t="s">
        <v>169</v>
      </c>
      <c r="M100" s="408">
        <v>20</v>
      </c>
      <c r="N100" s="408">
        <v>95</v>
      </c>
      <c r="O100" s="307"/>
      <c r="P100" s="181"/>
      <c r="Q100" s="181"/>
      <c r="R100" s="181"/>
      <c r="S100" s="176"/>
      <c r="T100" s="176"/>
      <c r="U100" s="176"/>
      <c r="V100" s="176"/>
      <c r="W100" s="179"/>
      <c r="X100" s="179"/>
      <c r="Y100" s="179"/>
      <c r="Z100" s="179"/>
      <c r="AA100" s="179"/>
      <c r="AB100" s="179"/>
      <c r="AH100" s="27"/>
    </row>
    <row r="101" spans="2:34" ht="13.5" hidden="1" customHeight="1" x14ac:dyDescent="0.2">
      <c r="B101" s="25"/>
      <c r="C101" s="45" t="str">
        <f t="shared" si="4"/>
        <v>Jordanien</v>
      </c>
      <c r="D101" s="46"/>
      <c r="E101" s="46"/>
      <c r="F101" s="47"/>
      <c r="G101" s="48"/>
      <c r="H101" s="49">
        <f t="shared" si="5"/>
        <v>47</v>
      </c>
      <c r="I101" s="49">
        <f t="shared" si="6"/>
        <v>134</v>
      </c>
      <c r="J101" s="401"/>
      <c r="K101" s="308" t="str">
        <f t="shared" si="7"/>
        <v>Jordanien</v>
      </c>
      <c r="L101" s="407" t="s">
        <v>170</v>
      </c>
      <c r="M101" s="408">
        <v>47</v>
      </c>
      <c r="N101" s="408">
        <v>134</v>
      </c>
      <c r="O101" s="307"/>
      <c r="P101" s="181"/>
      <c r="Q101" s="181"/>
      <c r="R101" s="181"/>
      <c r="S101" s="176"/>
      <c r="T101" s="176"/>
      <c r="U101" s="176"/>
      <c r="V101" s="176"/>
      <c r="W101" s="179"/>
      <c r="X101" s="179"/>
      <c r="Y101" s="179"/>
      <c r="Z101" s="179"/>
      <c r="AA101" s="179"/>
      <c r="AB101" s="179"/>
      <c r="AH101" s="27"/>
    </row>
    <row r="102" spans="2:34" ht="13.5" hidden="1" customHeight="1" x14ac:dyDescent="0.2">
      <c r="B102" s="25"/>
      <c r="C102" s="45" t="str">
        <f t="shared" si="4"/>
        <v>Kambodscha</v>
      </c>
      <c r="D102" s="46"/>
      <c r="E102" s="46"/>
      <c r="F102" s="47"/>
      <c r="G102" s="48"/>
      <c r="H102" s="49">
        <f t="shared" si="5"/>
        <v>31</v>
      </c>
      <c r="I102" s="49">
        <f t="shared" si="6"/>
        <v>94</v>
      </c>
      <c r="J102" s="401"/>
      <c r="K102" s="308" t="str">
        <f t="shared" si="7"/>
        <v>Kambodscha</v>
      </c>
      <c r="L102" s="407" t="s">
        <v>171</v>
      </c>
      <c r="M102" s="408">
        <v>31</v>
      </c>
      <c r="N102" s="408">
        <v>94</v>
      </c>
      <c r="O102" s="307"/>
      <c r="P102" s="181"/>
      <c r="Q102" s="181"/>
      <c r="R102" s="181"/>
      <c r="S102" s="176"/>
      <c r="T102" s="176"/>
      <c r="U102" s="176"/>
      <c r="V102" s="176"/>
      <c r="W102" s="179"/>
      <c r="X102" s="179"/>
      <c r="Y102" s="179"/>
      <c r="Z102" s="179"/>
      <c r="AA102" s="179"/>
      <c r="AB102" s="179"/>
      <c r="AH102" s="27"/>
    </row>
    <row r="103" spans="2:34" ht="13.5" hidden="1" customHeight="1" x14ac:dyDescent="0.2">
      <c r="B103" s="25"/>
      <c r="C103" s="45" t="str">
        <f t="shared" si="4"/>
        <v>Kamerun</v>
      </c>
      <c r="D103" s="46"/>
      <c r="E103" s="46"/>
      <c r="F103" s="47"/>
      <c r="G103" s="48"/>
      <c r="H103" s="49">
        <f t="shared" si="5"/>
        <v>46</v>
      </c>
      <c r="I103" s="49">
        <f t="shared" si="6"/>
        <v>275</v>
      </c>
      <c r="J103" s="401"/>
      <c r="K103" s="308" t="str">
        <f t="shared" si="7"/>
        <v>Kamerun</v>
      </c>
      <c r="L103" s="407" t="s">
        <v>257</v>
      </c>
      <c r="M103" s="408">
        <v>46</v>
      </c>
      <c r="N103" s="408">
        <v>275</v>
      </c>
      <c r="O103" s="307"/>
      <c r="P103" s="181"/>
      <c r="Q103" s="181"/>
      <c r="R103" s="181"/>
      <c r="S103" s="176"/>
      <c r="T103" s="176"/>
      <c r="U103" s="176"/>
      <c r="V103" s="176"/>
      <c r="W103" s="179"/>
      <c r="X103" s="179"/>
      <c r="Y103" s="179"/>
      <c r="Z103" s="179"/>
      <c r="AA103" s="179"/>
      <c r="AB103" s="179"/>
      <c r="AH103" s="27"/>
    </row>
    <row r="104" spans="2:34" ht="13.5" hidden="1" customHeight="1" x14ac:dyDescent="0.2">
      <c r="B104" s="25"/>
      <c r="C104" s="45" t="str">
        <f t="shared" si="4"/>
        <v>Kanada - Ottawa</v>
      </c>
      <c r="D104" s="46"/>
      <c r="E104" s="46"/>
      <c r="F104" s="47"/>
      <c r="G104" s="48"/>
      <c r="H104" s="49">
        <f t="shared" si="5"/>
        <v>51</v>
      </c>
      <c r="I104" s="49">
        <f t="shared" si="6"/>
        <v>214</v>
      </c>
      <c r="J104" s="401"/>
      <c r="K104" s="308" t="str">
        <f t="shared" si="7"/>
        <v>Kanada - Ottawa</v>
      </c>
      <c r="L104" s="407" t="s">
        <v>76</v>
      </c>
      <c r="M104" s="408">
        <v>51</v>
      </c>
      <c r="N104" s="408">
        <v>214</v>
      </c>
      <c r="O104" s="307"/>
      <c r="P104" s="181"/>
      <c r="Q104" s="181"/>
      <c r="R104" s="181"/>
      <c r="S104" s="176"/>
      <c r="T104" s="176"/>
      <c r="U104" s="176"/>
      <c r="V104" s="176"/>
      <c r="W104" s="179"/>
      <c r="X104" s="179"/>
      <c r="Y104" s="179"/>
      <c r="Z104" s="179"/>
      <c r="AA104" s="179"/>
      <c r="AB104" s="179"/>
      <c r="AH104" s="27"/>
    </row>
    <row r="105" spans="2:34" ht="13.5" hidden="1" customHeight="1" x14ac:dyDescent="0.2">
      <c r="B105" s="25"/>
      <c r="C105" s="45" t="str">
        <f t="shared" si="4"/>
        <v>Kanada - Toronto</v>
      </c>
      <c r="D105" s="46"/>
      <c r="E105" s="46"/>
      <c r="F105" s="47"/>
      <c r="G105" s="48"/>
      <c r="H105" s="49">
        <f t="shared" si="5"/>
        <v>45</v>
      </c>
      <c r="I105" s="49">
        <f t="shared" si="6"/>
        <v>392</v>
      </c>
      <c r="J105" s="401"/>
      <c r="K105" s="308" t="str">
        <f t="shared" si="7"/>
        <v>Kanada - Toronto</v>
      </c>
      <c r="L105" s="407" t="s">
        <v>77</v>
      </c>
      <c r="M105" s="408">
        <v>45</v>
      </c>
      <c r="N105" s="408">
        <v>392</v>
      </c>
      <c r="O105" s="307"/>
      <c r="P105" s="181"/>
      <c r="Q105" s="181"/>
      <c r="R105" s="181"/>
      <c r="S105" s="176"/>
      <c r="T105" s="176"/>
      <c r="U105" s="176"/>
      <c r="V105" s="176"/>
      <c r="W105" s="179"/>
      <c r="X105" s="179"/>
      <c r="Y105" s="179"/>
      <c r="Z105" s="179"/>
      <c r="AA105" s="179"/>
      <c r="AB105" s="179"/>
      <c r="AH105" s="27"/>
    </row>
    <row r="106" spans="2:34" ht="13.5" hidden="1" customHeight="1" x14ac:dyDescent="0.2">
      <c r="B106" s="25"/>
      <c r="C106" s="45" t="str">
        <f t="shared" si="4"/>
        <v>Kanada - Vancouver</v>
      </c>
      <c r="D106" s="46"/>
      <c r="E106" s="46"/>
      <c r="F106" s="47"/>
      <c r="G106" s="48"/>
      <c r="H106" s="49">
        <f t="shared" si="5"/>
        <v>52</v>
      </c>
      <c r="I106" s="49">
        <f t="shared" si="6"/>
        <v>304</v>
      </c>
      <c r="J106" s="401"/>
      <c r="K106" s="308" t="str">
        <f t="shared" si="7"/>
        <v>Kanada - Vancouver</v>
      </c>
      <c r="L106" s="407" t="s">
        <v>78</v>
      </c>
      <c r="M106" s="408">
        <v>52</v>
      </c>
      <c r="N106" s="408">
        <v>304</v>
      </c>
      <c r="O106" s="307"/>
      <c r="P106" s="181"/>
      <c r="Q106" s="181"/>
      <c r="R106" s="181"/>
      <c r="S106" s="176"/>
      <c r="T106" s="176"/>
      <c r="U106" s="176"/>
      <c r="V106" s="176"/>
      <c r="W106" s="179"/>
      <c r="X106" s="179"/>
      <c r="Y106" s="179"/>
      <c r="Z106" s="179"/>
      <c r="AA106" s="179"/>
      <c r="AB106" s="179"/>
      <c r="AH106" s="27"/>
    </row>
    <row r="107" spans="2:34" ht="13.5" hidden="1" customHeight="1" x14ac:dyDescent="0.2">
      <c r="B107" s="25"/>
      <c r="C107" s="45" t="str">
        <f t="shared" si="4"/>
        <v>Kanada - im Übrigen</v>
      </c>
      <c r="D107" s="46"/>
      <c r="E107" s="46"/>
      <c r="F107" s="47"/>
      <c r="G107" s="48"/>
      <c r="H107" s="49">
        <f t="shared" si="5"/>
        <v>45</v>
      </c>
      <c r="I107" s="49">
        <f t="shared" si="6"/>
        <v>214</v>
      </c>
      <c r="J107" s="401"/>
      <c r="K107" s="308" t="str">
        <f t="shared" si="7"/>
        <v>Kanada - im Übrigen</v>
      </c>
      <c r="L107" s="407" t="s">
        <v>172</v>
      </c>
      <c r="M107" s="408">
        <v>45</v>
      </c>
      <c r="N107" s="408">
        <v>214</v>
      </c>
      <c r="O107" s="307"/>
      <c r="P107" s="181"/>
      <c r="Q107" s="181"/>
      <c r="R107" s="181"/>
      <c r="S107" s="176"/>
      <c r="T107" s="176"/>
      <c r="U107" s="176"/>
      <c r="V107" s="176"/>
      <c r="W107" s="179"/>
      <c r="X107" s="179"/>
      <c r="Y107" s="179"/>
      <c r="Z107" s="179"/>
      <c r="AA107" s="179"/>
      <c r="AB107" s="179"/>
      <c r="AH107" s="27"/>
    </row>
    <row r="108" spans="2:34" ht="13.5" hidden="1" customHeight="1" x14ac:dyDescent="0.2">
      <c r="B108" s="25"/>
      <c r="C108" s="45" t="str">
        <f t="shared" si="4"/>
        <v>Kap Verde</v>
      </c>
      <c r="D108" s="46"/>
      <c r="E108" s="46"/>
      <c r="F108" s="47"/>
      <c r="G108" s="48"/>
      <c r="H108" s="49">
        <f t="shared" si="5"/>
        <v>31</v>
      </c>
      <c r="I108" s="49">
        <f t="shared" si="6"/>
        <v>90</v>
      </c>
      <c r="J108" s="401"/>
      <c r="K108" s="308" t="str">
        <f t="shared" si="7"/>
        <v>Kap Verde</v>
      </c>
      <c r="L108" s="407" t="s">
        <v>412</v>
      </c>
      <c r="M108" s="408">
        <v>31</v>
      </c>
      <c r="N108" s="408">
        <v>90</v>
      </c>
      <c r="O108" s="307"/>
      <c r="P108" s="181"/>
      <c r="Q108" s="181"/>
      <c r="R108" s="181"/>
      <c r="S108" s="176"/>
      <c r="T108" s="176"/>
      <c r="U108" s="176"/>
      <c r="V108" s="176"/>
      <c r="W108" s="179"/>
      <c r="X108" s="179"/>
      <c r="Y108" s="179"/>
      <c r="Z108" s="179"/>
      <c r="AA108" s="179"/>
      <c r="AB108" s="179"/>
      <c r="AH108" s="27"/>
    </row>
    <row r="109" spans="2:34" ht="13.5" hidden="1" customHeight="1" x14ac:dyDescent="0.2">
      <c r="B109" s="25"/>
      <c r="C109" s="45" t="str">
        <f t="shared" si="4"/>
        <v>Kasachstan</v>
      </c>
      <c r="D109" s="46"/>
      <c r="E109" s="46"/>
      <c r="F109" s="47"/>
      <c r="G109" s="48"/>
      <c r="H109" s="49">
        <f t="shared" si="5"/>
        <v>37</v>
      </c>
      <c r="I109" s="49">
        <f t="shared" si="6"/>
        <v>111</v>
      </c>
      <c r="J109" s="401"/>
      <c r="K109" s="308" t="str">
        <f t="shared" si="7"/>
        <v>Kasachstan</v>
      </c>
      <c r="L109" s="407" t="s">
        <v>173</v>
      </c>
      <c r="M109" s="408">
        <v>37</v>
      </c>
      <c r="N109" s="408">
        <v>111</v>
      </c>
      <c r="O109" s="307"/>
      <c r="P109" s="181"/>
      <c r="Q109" s="181"/>
      <c r="R109" s="181"/>
      <c r="S109" s="176"/>
      <c r="T109" s="176"/>
      <c r="U109" s="176"/>
      <c r="V109" s="176"/>
      <c r="W109" s="179"/>
      <c r="X109" s="179"/>
      <c r="Y109" s="179"/>
      <c r="Z109" s="179"/>
      <c r="AA109" s="179"/>
      <c r="AB109" s="179"/>
      <c r="AH109" s="27"/>
    </row>
    <row r="110" spans="2:34" ht="13.5" hidden="1" customHeight="1" x14ac:dyDescent="0.2">
      <c r="B110" s="25"/>
      <c r="C110" s="45" t="str">
        <f t="shared" si="4"/>
        <v>Katar</v>
      </c>
      <c r="D110" s="46"/>
      <c r="E110" s="46"/>
      <c r="F110" s="47"/>
      <c r="G110" s="48"/>
      <c r="H110" s="49">
        <f t="shared" si="5"/>
        <v>46</v>
      </c>
      <c r="I110" s="49">
        <f t="shared" si="6"/>
        <v>149</v>
      </c>
      <c r="J110" s="401"/>
      <c r="K110" s="308" t="str">
        <f t="shared" si="7"/>
        <v>Katar</v>
      </c>
      <c r="L110" s="407" t="s">
        <v>79</v>
      </c>
      <c r="M110" s="408">
        <v>46</v>
      </c>
      <c r="N110" s="408">
        <v>149</v>
      </c>
      <c r="O110" s="307"/>
      <c r="P110" s="181"/>
      <c r="Q110" s="181"/>
      <c r="R110" s="181"/>
      <c r="S110" s="176"/>
      <c r="T110" s="176"/>
      <c r="U110" s="176"/>
      <c r="V110" s="176"/>
      <c r="W110" s="179"/>
      <c r="X110" s="179"/>
      <c r="Y110" s="179"/>
      <c r="Z110" s="179"/>
      <c r="AA110" s="179"/>
      <c r="AB110" s="179"/>
      <c r="AH110" s="27"/>
    </row>
    <row r="111" spans="2:34" ht="13.5" hidden="1" customHeight="1" x14ac:dyDescent="0.2">
      <c r="B111" s="25"/>
      <c r="C111" s="45" t="str">
        <f t="shared" si="4"/>
        <v>Kenia</v>
      </c>
      <c r="D111" s="46"/>
      <c r="E111" s="46"/>
      <c r="F111" s="47"/>
      <c r="G111" s="48"/>
      <c r="H111" s="49">
        <f t="shared" si="5"/>
        <v>42</v>
      </c>
      <c r="I111" s="49">
        <f t="shared" si="6"/>
        <v>219</v>
      </c>
      <c r="J111" s="401"/>
      <c r="K111" s="308" t="str">
        <f t="shared" si="7"/>
        <v>Kenia</v>
      </c>
      <c r="L111" s="407" t="s">
        <v>174</v>
      </c>
      <c r="M111" s="408">
        <v>42</v>
      </c>
      <c r="N111" s="408">
        <v>219</v>
      </c>
      <c r="O111" s="307"/>
      <c r="P111" s="181"/>
      <c r="Q111" s="181"/>
      <c r="R111" s="181"/>
      <c r="S111" s="176"/>
      <c r="T111" s="176"/>
      <c r="U111" s="176"/>
      <c r="V111" s="176"/>
      <c r="W111" s="179"/>
      <c r="X111" s="179"/>
      <c r="Y111" s="179"/>
      <c r="Z111" s="179"/>
      <c r="AA111" s="179"/>
      <c r="AB111" s="179"/>
      <c r="AH111" s="27"/>
    </row>
    <row r="112" spans="2:34" ht="13.5" hidden="1" customHeight="1" x14ac:dyDescent="0.2">
      <c r="B112" s="25"/>
      <c r="C112" s="45" t="str">
        <f t="shared" si="4"/>
        <v>Kirgisistan</v>
      </c>
      <c r="D112" s="46"/>
      <c r="E112" s="46"/>
      <c r="F112" s="47"/>
      <c r="G112" s="48"/>
      <c r="H112" s="49">
        <f t="shared" si="5"/>
        <v>22</v>
      </c>
      <c r="I112" s="49">
        <f t="shared" si="6"/>
        <v>74</v>
      </c>
      <c r="J112" s="401"/>
      <c r="K112" s="308" t="str">
        <f t="shared" si="7"/>
        <v>Kirgisistan</v>
      </c>
      <c r="L112" s="407" t="s">
        <v>175</v>
      </c>
      <c r="M112" s="408">
        <v>22</v>
      </c>
      <c r="N112" s="408">
        <v>74</v>
      </c>
      <c r="O112" s="307"/>
      <c r="P112" s="181"/>
      <c r="Q112" s="181"/>
      <c r="R112" s="181"/>
      <c r="S112" s="176"/>
      <c r="T112" s="176"/>
      <c r="U112" s="176"/>
      <c r="V112" s="176"/>
      <c r="W112" s="179"/>
      <c r="X112" s="179"/>
      <c r="Y112" s="179"/>
      <c r="Z112" s="179"/>
      <c r="AA112" s="179"/>
      <c r="AB112" s="179"/>
      <c r="AH112" s="27"/>
    </row>
    <row r="113" spans="2:34" ht="13.5" hidden="1" customHeight="1" x14ac:dyDescent="0.2">
      <c r="B113" s="25"/>
      <c r="C113" s="45" t="str">
        <f t="shared" si="4"/>
        <v>Kolumbien</v>
      </c>
      <c r="D113" s="46"/>
      <c r="E113" s="46"/>
      <c r="F113" s="47"/>
      <c r="G113" s="48"/>
      <c r="H113" s="49">
        <f t="shared" si="5"/>
        <v>38</v>
      </c>
      <c r="I113" s="49">
        <f t="shared" si="6"/>
        <v>115</v>
      </c>
      <c r="J113" s="401"/>
      <c r="K113" s="308" t="str">
        <f t="shared" si="7"/>
        <v>Kolumbien</v>
      </c>
      <c r="L113" s="407" t="s">
        <v>176</v>
      </c>
      <c r="M113" s="408">
        <v>38</v>
      </c>
      <c r="N113" s="408">
        <v>115</v>
      </c>
      <c r="O113" s="307"/>
      <c r="P113" s="181"/>
      <c r="Q113" s="181"/>
      <c r="R113" s="181"/>
      <c r="S113" s="176"/>
      <c r="T113" s="176"/>
      <c r="U113" s="176"/>
      <c r="V113" s="176"/>
      <c r="W113" s="179"/>
      <c r="X113" s="179"/>
      <c r="Y113" s="179"/>
      <c r="Z113" s="179"/>
      <c r="AA113" s="179"/>
      <c r="AB113" s="179"/>
      <c r="AH113" s="27"/>
    </row>
    <row r="114" spans="2:34" ht="13.5" hidden="1" customHeight="1" x14ac:dyDescent="0.2">
      <c r="B114" s="25"/>
      <c r="C114" s="45" t="str">
        <f t="shared" si="4"/>
        <v>Kongo, Demokratische Republik</v>
      </c>
      <c r="D114" s="46"/>
      <c r="E114" s="46"/>
      <c r="F114" s="47"/>
      <c r="G114" s="48"/>
      <c r="H114" s="49">
        <f t="shared" si="5"/>
        <v>58</v>
      </c>
      <c r="I114" s="49">
        <f t="shared" si="6"/>
        <v>190</v>
      </c>
      <c r="J114" s="401"/>
      <c r="K114" s="308" t="str">
        <f t="shared" si="7"/>
        <v>Kongo, Demokratische Republik</v>
      </c>
      <c r="L114" s="407" t="s">
        <v>177</v>
      </c>
      <c r="M114" s="408">
        <v>58</v>
      </c>
      <c r="N114" s="408">
        <v>190</v>
      </c>
      <c r="O114" s="307"/>
      <c r="P114" s="181"/>
      <c r="Q114" s="181"/>
      <c r="R114" s="181"/>
      <c r="S114" s="176"/>
      <c r="T114" s="176"/>
      <c r="U114" s="176"/>
      <c r="V114" s="176"/>
      <c r="W114" s="179"/>
      <c r="X114" s="179"/>
      <c r="Y114" s="179"/>
      <c r="Z114" s="179"/>
      <c r="AA114" s="179"/>
      <c r="AB114" s="179"/>
      <c r="AH114" s="27"/>
    </row>
    <row r="115" spans="2:34" ht="13.5" hidden="1" customHeight="1" x14ac:dyDescent="0.2">
      <c r="B115" s="25"/>
      <c r="C115" s="45" t="str">
        <f t="shared" si="4"/>
        <v>Kongo, Republik</v>
      </c>
      <c r="D115" s="46"/>
      <c r="E115" s="46"/>
      <c r="F115" s="47"/>
      <c r="G115" s="48"/>
      <c r="H115" s="49">
        <f t="shared" si="5"/>
        <v>51</v>
      </c>
      <c r="I115" s="49">
        <f t="shared" si="6"/>
        <v>215</v>
      </c>
      <c r="J115" s="401"/>
      <c r="K115" s="308" t="str">
        <f t="shared" si="7"/>
        <v>Kongo, Republik</v>
      </c>
      <c r="L115" s="407" t="s">
        <v>178</v>
      </c>
      <c r="M115" s="408">
        <v>51</v>
      </c>
      <c r="N115" s="408">
        <v>215</v>
      </c>
      <c r="O115" s="307"/>
      <c r="P115" s="181"/>
      <c r="Q115" s="181"/>
      <c r="R115" s="181"/>
      <c r="S115" s="176"/>
      <c r="T115" s="176"/>
      <c r="U115" s="176"/>
      <c r="V115" s="176"/>
      <c r="W115" s="179"/>
      <c r="X115" s="179"/>
      <c r="Y115" s="179"/>
      <c r="Z115" s="179"/>
      <c r="AA115" s="179"/>
      <c r="AB115" s="179"/>
      <c r="AH115" s="27"/>
    </row>
    <row r="116" spans="2:34" ht="13.5" hidden="1" customHeight="1" x14ac:dyDescent="0.2">
      <c r="B116" s="25"/>
      <c r="C116" s="45" t="str">
        <f t="shared" si="4"/>
        <v>Korea, Demokratische Volksrepublik</v>
      </c>
      <c r="D116" s="46"/>
      <c r="E116" s="46"/>
      <c r="F116" s="47"/>
      <c r="G116" s="48"/>
      <c r="H116" s="49">
        <f t="shared" si="5"/>
        <v>23</v>
      </c>
      <c r="I116" s="49">
        <f t="shared" si="6"/>
        <v>92</v>
      </c>
      <c r="J116" s="401"/>
      <c r="K116" s="308" t="str">
        <f t="shared" si="7"/>
        <v>Korea, Demokratische Volksrepublik</v>
      </c>
      <c r="L116" s="407" t="s">
        <v>179</v>
      </c>
      <c r="M116" s="408">
        <v>23</v>
      </c>
      <c r="N116" s="408">
        <v>92</v>
      </c>
      <c r="O116" s="307"/>
      <c r="P116" s="181"/>
      <c r="Q116" s="181"/>
      <c r="R116" s="181"/>
      <c r="S116" s="176"/>
      <c r="T116" s="176"/>
      <c r="U116" s="176"/>
      <c r="V116" s="176"/>
      <c r="W116" s="179"/>
      <c r="X116" s="179"/>
      <c r="Y116" s="179"/>
      <c r="Z116" s="179"/>
      <c r="AA116" s="179"/>
      <c r="AB116" s="179"/>
      <c r="AH116" s="27"/>
    </row>
    <row r="117" spans="2:34" ht="13.5" hidden="1" customHeight="1" x14ac:dyDescent="0.2">
      <c r="B117" s="25"/>
      <c r="C117" s="45" t="str">
        <f t="shared" si="4"/>
        <v>Korea, Republik</v>
      </c>
      <c r="D117" s="46"/>
      <c r="E117" s="46"/>
      <c r="F117" s="47"/>
      <c r="G117" s="48"/>
      <c r="H117" s="49">
        <f t="shared" si="5"/>
        <v>40</v>
      </c>
      <c r="I117" s="49">
        <f t="shared" si="6"/>
        <v>108</v>
      </c>
      <c r="J117" s="401"/>
      <c r="K117" s="308" t="str">
        <f t="shared" si="7"/>
        <v>Korea, Republik</v>
      </c>
      <c r="L117" s="407" t="s">
        <v>180</v>
      </c>
      <c r="M117" s="408">
        <v>40</v>
      </c>
      <c r="N117" s="408">
        <v>108</v>
      </c>
      <c r="O117" s="307"/>
      <c r="P117" s="181"/>
      <c r="Q117" s="181"/>
      <c r="R117" s="181"/>
      <c r="S117" s="176"/>
      <c r="T117" s="176"/>
      <c r="U117" s="176"/>
      <c r="V117" s="176"/>
      <c r="W117" s="179"/>
      <c r="X117" s="179"/>
      <c r="Y117" s="179"/>
      <c r="Z117" s="179"/>
      <c r="AA117" s="179"/>
      <c r="AB117" s="179"/>
      <c r="AH117" s="27"/>
    </row>
    <row r="118" spans="2:34" ht="13.5" hidden="1" customHeight="1" x14ac:dyDescent="0.2">
      <c r="B118" s="25"/>
      <c r="C118" s="45" t="str">
        <f t="shared" si="4"/>
        <v>Kosovo</v>
      </c>
      <c r="D118" s="46"/>
      <c r="E118" s="46"/>
      <c r="F118" s="47"/>
      <c r="G118" s="48"/>
      <c r="H118" s="49">
        <f t="shared" si="5"/>
        <v>20</v>
      </c>
      <c r="I118" s="49">
        <f t="shared" si="6"/>
        <v>71</v>
      </c>
      <c r="J118" s="401"/>
      <c r="K118" s="308" t="str">
        <f t="shared" si="7"/>
        <v>Kosovo</v>
      </c>
      <c r="L118" s="405" t="s">
        <v>181</v>
      </c>
      <c r="M118" s="409">
        <v>20</v>
      </c>
      <c r="N118" s="409">
        <v>71</v>
      </c>
      <c r="O118" s="307"/>
      <c r="P118" s="181"/>
      <c r="Q118" s="181"/>
      <c r="R118" s="181"/>
      <c r="S118" s="176"/>
      <c r="T118" s="176"/>
      <c r="U118" s="176"/>
      <c r="V118" s="176"/>
      <c r="W118" s="179"/>
      <c r="X118" s="179"/>
      <c r="Y118" s="179"/>
      <c r="Z118" s="179"/>
      <c r="AA118" s="179"/>
      <c r="AB118" s="179"/>
      <c r="AH118" s="27"/>
    </row>
    <row r="119" spans="2:34" ht="13.5" hidden="1" customHeight="1" x14ac:dyDescent="0.2">
      <c r="B119" s="25"/>
      <c r="C119" s="45" t="str">
        <f t="shared" si="4"/>
        <v>Kroatien</v>
      </c>
      <c r="D119" s="46"/>
      <c r="E119" s="46"/>
      <c r="F119" s="47"/>
      <c r="G119" s="48"/>
      <c r="H119" s="49">
        <f t="shared" si="5"/>
        <v>29</v>
      </c>
      <c r="I119" s="49">
        <f t="shared" si="6"/>
        <v>107</v>
      </c>
      <c r="J119" s="401"/>
      <c r="K119" s="308" t="str">
        <f t="shared" si="7"/>
        <v>Kroatien</v>
      </c>
      <c r="L119" s="405" t="s">
        <v>37</v>
      </c>
      <c r="M119" s="409">
        <v>29</v>
      </c>
      <c r="N119" s="409">
        <v>107</v>
      </c>
      <c r="O119" s="307"/>
      <c r="P119" s="181"/>
      <c r="Q119" s="181"/>
      <c r="R119" s="181"/>
      <c r="S119" s="176"/>
      <c r="T119" s="176"/>
      <c r="U119" s="176"/>
      <c r="V119" s="176"/>
      <c r="W119" s="179"/>
      <c r="X119" s="179"/>
      <c r="Y119" s="179"/>
      <c r="Z119" s="179"/>
      <c r="AA119" s="179"/>
      <c r="AB119" s="179"/>
      <c r="AH119" s="27"/>
    </row>
    <row r="120" spans="2:34" ht="13.5" hidden="1" customHeight="1" x14ac:dyDescent="0.2">
      <c r="B120" s="25"/>
      <c r="C120" s="45" t="str">
        <f t="shared" si="4"/>
        <v>Kuba</v>
      </c>
      <c r="D120" s="46"/>
      <c r="E120" s="46"/>
      <c r="F120" s="87"/>
      <c r="G120" s="88"/>
      <c r="H120" s="49">
        <f t="shared" si="5"/>
        <v>42</v>
      </c>
      <c r="I120" s="49">
        <f t="shared" si="6"/>
        <v>170</v>
      </c>
      <c r="J120" s="401"/>
      <c r="K120" s="308" t="str">
        <f t="shared" si="7"/>
        <v>Kuba</v>
      </c>
      <c r="L120" s="405" t="s">
        <v>182</v>
      </c>
      <c r="M120" s="409">
        <v>42</v>
      </c>
      <c r="N120" s="409">
        <v>170</v>
      </c>
      <c r="O120" s="307"/>
      <c r="P120" s="181"/>
      <c r="Q120" s="181"/>
      <c r="R120" s="181"/>
      <c r="S120" s="176"/>
      <c r="T120" s="176"/>
      <c r="U120" s="176"/>
      <c r="V120" s="176"/>
      <c r="W120" s="179"/>
      <c r="X120" s="179"/>
      <c r="Y120" s="179"/>
      <c r="Z120" s="179"/>
      <c r="AA120" s="179"/>
      <c r="AB120" s="179"/>
      <c r="AH120" s="27"/>
    </row>
    <row r="121" spans="2:34" ht="13.5" hidden="1" customHeight="1" x14ac:dyDescent="0.2">
      <c r="B121" s="25"/>
      <c r="C121" s="45" t="str">
        <f t="shared" si="4"/>
        <v>Kuwait</v>
      </c>
      <c r="D121" s="46"/>
      <c r="E121" s="46"/>
      <c r="F121" s="87"/>
      <c r="G121" s="88"/>
      <c r="H121" s="49">
        <f t="shared" si="5"/>
        <v>46</v>
      </c>
      <c r="I121" s="49">
        <f t="shared" si="6"/>
        <v>241</v>
      </c>
      <c r="J121" s="401"/>
      <c r="K121" s="308" t="str">
        <f t="shared" si="7"/>
        <v>Kuwait</v>
      </c>
      <c r="L121" s="405" t="s">
        <v>183</v>
      </c>
      <c r="M121" s="409">
        <v>46</v>
      </c>
      <c r="N121" s="409">
        <v>241</v>
      </c>
      <c r="O121" s="307"/>
      <c r="P121" s="181"/>
      <c r="Q121" s="181"/>
      <c r="R121" s="181"/>
      <c r="S121" s="176"/>
      <c r="T121" s="176"/>
      <c r="U121" s="176"/>
      <c r="V121" s="176"/>
      <c r="W121" s="179"/>
      <c r="X121" s="179"/>
      <c r="Y121" s="179"/>
      <c r="Z121" s="179"/>
      <c r="AA121" s="179"/>
      <c r="AB121" s="179"/>
      <c r="AH121" s="27"/>
    </row>
    <row r="122" spans="2:34" ht="13.5" hidden="1" customHeight="1" x14ac:dyDescent="0.2">
      <c r="B122" s="25"/>
      <c r="C122" s="45" t="str">
        <f t="shared" si="4"/>
        <v>Laos</v>
      </c>
      <c r="D122" s="46"/>
      <c r="E122" s="46"/>
      <c r="F122" s="47"/>
      <c r="G122" s="48"/>
      <c r="H122" s="49">
        <f t="shared" si="5"/>
        <v>29</v>
      </c>
      <c r="I122" s="49">
        <f t="shared" si="6"/>
        <v>71</v>
      </c>
      <c r="J122" s="401"/>
      <c r="K122" s="308" t="str">
        <f t="shared" si="7"/>
        <v>Laos</v>
      </c>
      <c r="L122" s="405" t="s">
        <v>184</v>
      </c>
      <c r="M122" s="409">
        <v>29</v>
      </c>
      <c r="N122" s="409">
        <v>71</v>
      </c>
      <c r="O122" s="307"/>
      <c r="P122" s="181"/>
      <c r="Q122" s="181"/>
      <c r="R122" s="181"/>
      <c r="S122" s="176"/>
      <c r="T122" s="176"/>
      <c r="U122" s="176"/>
      <c r="V122" s="176"/>
      <c r="W122" s="179"/>
      <c r="X122" s="179"/>
      <c r="Y122" s="179"/>
      <c r="Z122" s="179"/>
      <c r="AA122" s="179"/>
      <c r="AB122" s="179"/>
      <c r="AH122" s="27"/>
    </row>
    <row r="123" spans="2:34" ht="13.5" hidden="1" customHeight="1" x14ac:dyDescent="0.2">
      <c r="B123" s="25"/>
      <c r="C123" s="45" t="str">
        <f t="shared" si="4"/>
        <v>Lesotho</v>
      </c>
      <c r="D123" s="46"/>
      <c r="E123" s="46"/>
      <c r="F123" s="47"/>
      <c r="G123" s="48"/>
      <c r="H123" s="49">
        <f t="shared" si="5"/>
        <v>23</v>
      </c>
      <c r="I123" s="49">
        <f t="shared" si="6"/>
        <v>104</v>
      </c>
      <c r="J123" s="401"/>
      <c r="K123" s="308" t="str">
        <f t="shared" si="7"/>
        <v>Lesotho</v>
      </c>
      <c r="L123" s="405" t="s">
        <v>185</v>
      </c>
      <c r="M123" s="409">
        <v>23</v>
      </c>
      <c r="N123" s="409">
        <v>104</v>
      </c>
      <c r="O123" s="307"/>
      <c r="P123" s="181"/>
      <c r="Q123" s="181"/>
      <c r="R123" s="181"/>
      <c r="S123" s="176"/>
      <c r="T123" s="176"/>
      <c r="U123" s="176"/>
      <c r="V123" s="176"/>
      <c r="W123" s="179"/>
      <c r="X123" s="179"/>
      <c r="Y123" s="179"/>
      <c r="Z123" s="179"/>
      <c r="AA123" s="179"/>
      <c r="AB123" s="179"/>
      <c r="AH123" s="27"/>
    </row>
    <row r="124" spans="2:34" ht="13.5" hidden="1" customHeight="1" x14ac:dyDescent="0.2">
      <c r="B124" s="25"/>
      <c r="C124" s="45" t="str">
        <f t="shared" si="4"/>
        <v>Lettland</v>
      </c>
      <c r="D124" s="46"/>
      <c r="E124" s="46"/>
      <c r="F124" s="47"/>
      <c r="G124" s="48"/>
      <c r="H124" s="49">
        <f t="shared" si="5"/>
        <v>29</v>
      </c>
      <c r="I124" s="49">
        <f t="shared" si="6"/>
        <v>76</v>
      </c>
      <c r="J124" s="401"/>
      <c r="K124" s="308" t="str">
        <f t="shared" si="7"/>
        <v>Lettland</v>
      </c>
      <c r="L124" s="405" t="s">
        <v>38</v>
      </c>
      <c r="M124" s="409">
        <v>29</v>
      </c>
      <c r="N124" s="409">
        <v>76</v>
      </c>
      <c r="O124" s="307"/>
      <c r="P124" s="181"/>
      <c r="Q124" s="181"/>
      <c r="R124" s="181"/>
      <c r="S124" s="176"/>
      <c r="T124" s="176"/>
      <c r="U124" s="176"/>
      <c r="V124" s="176"/>
      <c r="W124" s="179"/>
      <c r="X124" s="179"/>
      <c r="Y124" s="179"/>
      <c r="Z124" s="179"/>
      <c r="AA124" s="179"/>
      <c r="AB124" s="179"/>
      <c r="AH124" s="27"/>
    </row>
    <row r="125" spans="2:34" ht="13.5" hidden="1" customHeight="1" x14ac:dyDescent="0.2">
      <c r="B125" s="25"/>
      <c r="C125" s="45" t="str">
        <f t="shared" si="4"/>
        <v>Libanon</v>
      </c>
      <c r="D125" s="46"/>
      <c r="E125" s="46"/>
      <c r="F125" s="47"/>
      <c r="G125" s="48"/>
      <c r="H125" s="49">
        <f t="shared" si="5"/>
        <v>57</v>
      </c>
      <c r="I125" s="49">
        <f t="shared" si="6"/>
        <v>146</v>
      </c>
      <c r="J125" s="401"/>
      <c r="K125" s="308" t="str">
        <f t="shared" si="7"/>
        <v>Libanon</v>
      </c>
      <c r="L125" s="405" t="s">
        <v>186</v>
      </c>
      <c r="M125" s="409">
        <v>57</v>
      </c>
      <c r="N125" s="409">
        <v>146</v>
      </c>
      <c r="O125" s="307"/>
      <c r="P125" s="181"/>
      <c r="Q125" s="181"/>
      <c r="R125" s="181"/>
      <c r="S125" s="176"/>
      <c r="T125" s="176"/>
      <c r="U125" s="176"/>
      <c r="V125" s="176"/>
      <c r="W125" s="179"/>
      <c r="X125" s="179"/>
      <c r="Y125" s="179"/>
      <c r="Z125" s="179"/>
      <c r="AA125" s="179"/>
      <c r="AB125" s="179"/>
      <c r="AH125" s="27"/>
    </row>
    <row r="126" spans="2:34" ht="13.5" hidden="1" customHeight="1" x14ac:dyDescent="0.2">
      <c r="B126" s="25"/>
      <c r="C126" s="45" t="str">
        <f t="shared" si="4"/>
        <v>Libyen</v>
      </c>
      <c r="D126" s="46"/>
      <c r="E126" s="46"/>
      <c r="F126" s="47"/>
      <c r="G126" s="48"/>
      <c r="H126" s="49">
        <f t="shared" si="5"/>
        <v>52</v>
      </c>
      <c r="I126" s="49">
        <f t="shared" si="6"/>
        <v>135</v>
      </c>
      <c r="J126" s="401"/>
      <c r="K126" s="308" t="str">
        <f t="shared" si="7"/>
        <v>Libyen</v>
      </c>
      <c r="L126" s="405" t="s">
        <v>187</v>
      </c>
      <c r="M126" s="409">
        <v>52</v>
      </c>
      <c r="N126" s="409">
        <v>135</v>
      </c>
      <c r="O126" s="307"/>
      <c r="P126" s="181"/>
      <c r="Q126" s="181"/>
      <c r="R126" s="181"/>
      <c r="S126" s="176"/>
      <c r="T126" s="176"/>
      <c r="U126" s="176"/>
      <c r="V126" s="176"/>
      <c r="W126" s="179"/>
      <c r="X126" s="179"/>
      <c r="Y126" s="179"/>
      <c r="Z126" s="179"/>
      <c r="AA126" s="179"/>
      <c r="AB126" s="179"/>
      <c r="AH126" s="27"/>
    </row>
    <row r="127" spans="2:34" ht="13.5" hidden="1" customHeight="1" x14ac:dyDescent="0.2">
      <c r="B127" s="25"/>
      <c r="C127" s="45" t="str">
        <f t="shared" si="4"/>
        <v>Liechtenstein</v>
      </c>
      <c r="D127" s="46"/>
      <c r="E127" s="46"/>
      <c r="F127" s="47"/>
      <c r="G127" s="48"/>
      <c r="H127" s="49">
        <f t="shared" si="5"/>
        <v>46</v>
      </c>
      <c r="I127" s="49">
        <f t="shared" si="6"/>
        <v>190</v>
      </c>
      <c r="J127" s="401"/>
      <c r="K127" s="308" t="str">
        <f t="shared" si="7"/>
        <v>Liechtenstein</v>
      </c>
      <c r="L127" s="405" t="s">
        <v>395</v>
      </c>
      <c r="M127" s="409">
        <v>46</v>
      </c>
      <c r="N127" s="409">
        <v>190</v>
      </c>
      <c r="O127" s="307"/>
      <c r="P127" s="181"/>
      <c r="Q127" s="181"/>
      <c r="R127" s="181"/>
      <c r="S127" s="176"/>
      <c r="T127" s="176"/>
      <c r="U127" s="176"/>
      <c r="V127" s="176"/>
      <c r="W127" s="179"/>
      <c r="X127" s="179"/>
      <c r="Y127" s="179"/>
      <c r="Z127" s="179"/>
      <c r="AA127" s="179"/>
      <c r="AB127" s="179"/>
      <c r="AH127" s="27"/>
    </row>
    <row r="128" spans="2:34" ht="13.5" hidden="1" customHeight="1" x14ac:dyDescent="0.2">
      <c r="B128" s="25"/>
      <c r="C128" s="45" t="str">
        <f t="shared" si="4"/>
        <v>Litauen</v>
      </c>
      <c r="D128" s="46"/>
      <c r="E128" s="46"/>
      <c r="F128" s="47"/>
      <c r="G128" s="48"/>
      <c r="H128" s="49">
        <f t="shared" si="5"/>
        <v>21</v>
      </c>
      <c r="I128" s="49">
        <f t="shared" si="6"/>
        <v>109</v>
      </c>
      <c r="J128" s="401"/>
      <c r="K128" s="308" t="str">
        <f t="shared" si="7"/>
        <v>Litauen</v>
      </c>
      <c r="L128" s="405" t="s">
        <v>396</v>
      </c>
      <c r="M128" s="409">
        <v>21</v>
      </c>
      <c r="N128" s="409">
        <v>109</v>
      </c>
      <c r="O128" s="307"/>
      <c r="P128" s="181"/>
      <c r="Q128" s="181"/>
      <c r="R128" s="181"/>
      <c r="S128" s="176"/>
      <c r="T128" s="176"/>
      <c r="U128" s="176"/>
      <c r="V128" s="176"/>
      <c r="W128" s="179"/>
      <c r="X128" s="179"/>
      <c r="Y128" s="179"/>
      <c r="Z128" s="179"/>
      <c r="AA128" s="179"/>
      <c r="AB128" s="179"/>
      <c r="AH128" s="27"/>
    </row>
    <row r="129" spans="2:34" ht="13.5" hidden="1" customHeight="1" x14ac:dyDescent="0.2">
      <c r="B129" s="25"/>
      <c r="C129" s="45" t="str">
        <f t="shared" si="4"/>
        <v>Luxemburg</v>
      </c>
      <c r="D129" s="46"/>
      <c r="E129" s="46"/>
      <c r="F129" s="47"/>
      <c r="G129" s="48"/>
      <c r="H129" s="49">
        <f t="shared" si="5"/>
        <v>52</v>
      </c>
      <c r="I129" s="49">
        <f t="shared" si="6"/>
        <v>139</v>
      </c>
      <c r="J129" s="401"/>
      <c r="K129" s="308" t="str">
        <f t="shared" si="7"/>
        <v>Luxemburg</v>
      </c>
      <c r="L129" s="405" t="s">
        <v>34</v>
      </c>
      <c r="M129" s="409">
        <v>52</v>
      </c>
      <c r="N129" s="409">
        <v>139</v>
      </c>
      <c r="O129" s="307"/>
      <c r="P129" s="181"/>
      <c r="Q129" s="181"/>
      <c r="R129" s="181"/>
      <c r="S129" s="176"/>
      <c r="T129" s="176"/>
      <c r="U129" s="176"/>
      <c r="V129" s="176"/>
      <c r="W129" s="179"/>
      <c r="X129" s="179"/>
      <c r="Y129" s="179"/>
      <c r="Z129" s="179"/>
      <c r="AA129" s="179"/>
      <c r="AB129" s="179"/>
      <c r="AH129" s="27"/>
    </row>
    <row r="130" spans="2:34" ht="13.5" hidden="1" customHeight="1" x14ac:dyDescent="0.2">
      <c r="B130" s="25"/>
      <c r="C130" s="45" t="str">
        <f t="shared" si="4"/>
        <v>Madagaskar</v>
      </c>
      <c r="D130" s="46"/>
      <c r="E130" s="46"/>
      <c r="F130" s="47"/>
      <c r="G130" s="48"/>
      <c r="H130" s="49">
        <f t="shared" si="5"/>
        <v>27</v>
      </c>
      <c r="I130" s="49">
        <f t="shared" si="6"/>
        <v>116</v>
      </c>
      <c r="J130" s="401"/>
      <c r="K130" s="308" t="str">
        <f t="shared" si="7"/>
        <v>Madagaskar</v>
      </c>
      <c r="L130" s="405" t="s">
        <v>80</v>
      </c>
      <c r="M130" s="409">
        <v>27</v>
      </c>
      <c r="N130" s="409">
        <v>116</v>
      </c>
      <c r="O130" s="307"/>
      <c r="P130" s="181"/>
      <c r="Q130" s="181"/>
      <c r="R130" s="181"/>
      <c r="S130" s="176"/>
      <c r="T130" s="176"/>
      <c r="U130" s="176"/>
      <c r="V130" s="176"/>
      <c r="W130" s="179"/>
      <c r="X130" s="179"/>
      <c r="Y130" s="179"/>
      <c r="Z130" s="179"/>
      <c r="AA130" s="179"/>
      <c r="AB130" s="179"/>
      <c r="AH130" s="27"/>
    </row>
    <row r="131" spans="2:34" ht="13.5" hidden="1" customHeight="1" x14ac:dyDescent="0.2">
      <c r="B131" s="25"/>
      <c r="C131" s="45" t="str">
        <f t="shared" si="4"/>
        <v>Malawi</v>
      </c>
      <c r="D131" s="46"/>
      <c r="E131" s="46"/>
      <c r="F131" s="47"/>
      <c r="G131" s="48"/>
      <c r="H131" s="49">
        <f t="shared" si="5"/>
        <v>34</v>
      </c>
      <c r="I131" s="49">
        <f t="shared" si="6"/>
        <v>109</v>
      </c>
      <c r="J131" s="401"/>
      <c r="K131" s="308" t="str">
        <f t="shared" si="7"/>
        <v>Malawi</v>
      </c>
      <c r="L131" s="405" t="s">
        <v>188</v>
      </c>
      <c r="M131" s="409">
        <v>34</v>
      </c>
      <c r="N131" s="409">
        <v>109</v>
      </c>
      <c r="O131" s="307"/>
      <c r="P131" s="181"/>
      <c r="Q131" s="181"/>
      <c r="R131" s="181"/>
      <c r="S131" s="176"/>
      <c r="T131" s="176"/>
      <c r="U131" s="176"/>
      <c r="V131" s="176"/>
      <c r="W131" s="179"/>
      <c r="X131" s="179"/>
      <c r="Y131" s="179"/>
      <c r="Z131" s="179"/>
      <c r="AA131" s="179"/>
      <c r="AB131" s="179"/>
      <c r="AH131" s="27"/>
    </row>
    <row r="132" spans="2:34" ht="13.5" hidden="1" customHeight="1" x14ac:dyDescent="0.2">
      <c r="B132" s="25"/>
      <c r="C132" s="45" t="str">
        <f t="shared" si="4"/>
        <v>Malaysia</v>
      </c>
      <c r="D132" s="46"/>
      <c r="E132" s="46"/>
      <c r="F132" s="47"/>
      <c r="G132" s="48"/>
      <c r="H132" s="49">
        <f t="shared" si="5"/>
        <v>30</v>
      </c>
      <c r="I132" s="49">
        <f t="shared" si="6"/>
        <v>86</v>
      </c>
      <c r="J132" s="401"/>
      <c r="K132" s="308" t="str">
        <f t="shared" si="7"/>
        <v>Malaysia</v>
      </c>
      <c r="L132" s="405" t="s">
        <v>189</v>
      </c>
      <c r="M132" s="409">
        <v>30</v>
      </c>
      <c r="N132" s="409">
        <v>86</v>
      </c>
      <c r="O132" s="307"/>
      <c r="P132" s="181"/>
      <c r="Q132" s="181"/>
      <c r="R132" s="181"/>
      <c r="S132" s="176"/>
      <c r="T132" s="176"/>
      <c r="U132" s="176"/>
      <c r="V132" s="176"/>
      <c r="W132" s="179"/>
      <c r="X132" s="179"/>
      <c r="Y132" s="179"/>
      <c r="Z132" s="179"/>
      <c r="AA132" s="179"/>
      <c r="AB132" s="179"/>
      <c r="AH132" s="27"/>
    </row>
    <row r="133" spans="2:34" ht="13.5" hidden="1" customHeight="1" x14ac:dyDescent="0.2">
      <c r="B133" s="25"/>
      <c r="C133" s="45" t="str">
        <f t="shared" si="4"/>
        <v>Malediven</v>
      </c>
      <c r="D133" s="46"/>
      <c r="E133" s="46"/>
      <c r="F133" s="47"/>
      <c r="G133" s="48"/>
      <c r="H133" s="49">
        <f t="shared" si="5"/>
        <v>43</v>
      </c>
      <c r="I133" s="49">
        <f t="shared" si="6"/>
        <v>170</v>
      </c>
      <c r="J133" s="401"/>
      <c r="K133" s="308" t="str">
        <f t="shared" si="7"/>
        <v>Malediven</v>
      </c>
      <c r="L133" s="405" t="s">
        <v>397</v>
      </c>
      <c r="M133" s="409">
        <v>43</v>
      </c>
      <c r="N133" s="409">
        <v>170</v>
      </c>
      <c r="O133" s="307"/>
      <c r="P133" s="181"/>
      <c r="Q133" s="181"/>
      <c r="R133" s="181"/>
      <c r="S133" s="176"/>
      <c r="T133" s="176"/>
      <c r="U133" s="176"/>
      <c r="V133" s="176"/>
      <c r="W133" s="179"/>
      <c r="X133" s="179"/>
      <c r="Y133" s="179"/>
      <c r="Z133" s="179"/>
      <c r="AA133" s="179"/>
      <c r="AB133" s="179"/>
      <c r="AH133" s="27"/>
    </row>
    <row r="134" spans="2:34" ht="13.5" hidden="1" customHeight="1" x14ac:dyDescent="0.2">
      <c r="B134" s="25"/>
      <c r="C134" s="45" t="str">
        <f t="shared" si="4"/>
        <v>Mali</v>
      </c>
      <c r="D134" s="46"/>
      <c r="E134" s="46"/>
      <c r="F134" s="47"/>
      <c r="G134" s="48"/>
      <c r="H134" s="49">
        <f t="shared" si="5"/>
        <v>31</v>
      </c>
      <c r="I134" s="49">
        <f t="shared" si="6"/>
        <v>120</v>
      </c>
      <c r="J134" s="401"/>
      <c r="K134" s="308" t="str">
        <f t="shared" si="7"/>
        <v>Mali</v>
      </c>
      <c r="L134" s="405" t="s">
        <v>190</v>
      </c>
      <c r="M134" s="409">
        <v>31</v>
      </c>
      <c r="N134" s="409">
        <v>120</v>
      </c>
      <c r="O134" s="307"/>
      <c r="P134" s="181"/>
      <c r="Q134" s="181"/>
      <c r="R134" s="181"/>
      <c r="S134" s="176"/>
      <c r="T134" s="176"/>
      <c r="U134" s="176"/>
      <c r="V134" s="176"/>
      <c r="W134" s="179"/>
      <c r="X134" s="179"/>
      <c r="Y134" s="179"/>
      <c r="Z134" s="179"/>
      <c r="AA134" s="179"/>
      <c r="AB134" s="179"/>
      <c r="AH134" s="27"/>
    </row>
    <row r="135" spans="2:34" ht="13.5" hidden="1" customHeight="1" x14ac:dyDescent="0.2">
      <c r="B135" s="25"/>
      <c r="C135" s="45" t="str">
        <f t="shared" si="4"/>
        <v>Malta</v>
      </c>
      <c r="D135" s="46"/>
      <c r="E135" s="46"/>
      <c r="F135" s="47"/>
      <c r="G135" s="48"/>
      <c r="H135" s="49">
        <f t="shared" si="5"/>
        <v>38</v>
      </c>
      <c r="I135" s="49">
        <f t="shared" si="6"/>
        <v>114</v>
      </c>
      <c r="J135" s="401"/>
      <c r="K135" s="308" t="str">
        <f t="shared" si="7"/>
        <v>Malta</v>
      </c>
      <c r="L135" s="405" t="s">
        <v>39</v>
      </c>
      <c r="M135" s="409">
        <v>38</v>
      </c>
      <c r="N135" s="409">
        <v>114</v>
      </c>
      <c r="O135" s="307"/>
      <c r="P135" s="181"/>
      <c r="Q135" s="181"/>
      <c r="R135" s="181"/>
      <c r="S135" s="176"/>
      <c r="T135" s="176"/>
      <c r="U135" s="176"/>
      <c r="V135" s="176"/>
      <c r="W135" s="179"/>
      <c r="X135" s="179"/>
      <c r="Y135" s="179"/>
      <c r="Z135" s="179"/>
      <c r="AA135" s="179"/>
      <c r="AB135" s="179"/>
      <c r="AH135" s="27"/>
    </row>
    <row r="136" spans="2:34" ht="13.5" hidden="1" customHeight="1" x14ac:dyDescent="0.2">
      <c r="B136" s="25"/>
      <c r="C136" s="45" t="str">
        <f t="shared" si="4"/>
        <v>Marokko</v>
      </c>
      <c r="D136" s="46"/>
      <c r="E136" s="46"/>
      <c r="F136" s="47"/>
      <c r="G136" s="48"/>
      <c r="H136" s="49">
        <f t="shared" si="5"/>
        <v>34</v>
      </c>
      <c r="I136" s="49">
        <f t="shared" si="6"/>
        <v>87</v>
      </c>
      <c r="J136" s="401"/>
      <c r="K136" s="308" t="str">
        <f t="shared" si="7"/>
        <v>Marokko</v>
      </c>
      <c r="L136" s="405" t="s">
        <v>191</v>
      </c>
      <c r="M136" s="409">
        <v>34</v>
      </c>
      <c r="N136" s="409">
        <v>87</v>
      </c>
      <c r="O136" s="307"/>
      <c r="P136" s="181"/>
      <c r="Q136" s="181"/>
      <c r="R136" s="181"/>
      <c r="S136" s="176"/>
      <c r="T136" s="176"/>
      <c r="U136" s="176"/>
      <c r="V136" s="176"/>
      <c r="W136" s="179"/>
      <c r="X136" s="179"/>
      <c r="Y136" s="179"/>
      <c r="Z136" s="179"/>
      <c r="AA136" s="179"/>
      <c r="AB136" s="179"/>
      <c r="AH136" s="27"/>
    </row>
    <row r="137" spans="2:34" ht="13.5" hidden="1" customHeight="1" x14ac:dyDescent="0.2">
      <c r="B137" s="25"/>
      <c r="C137" s="45" t="str">
        <f t="shared" si="4"/>
        <v>Marshall Inseln</v>
      </c>
      <c r="D137" s="46"/>
      <c r="E137" s="46"/>
      <c r="F137" s="47"/>
      <c r="G137" s="48"/>
      <c r="H137" s="49">
        <f t="shared" si="5"/>
        <v>52</v>
      </c>
      <c r="I137" s="49">
        <f t="shared" si="6"/>
        <v>102</v>
      </c>
      <c r="J137" s="401"/>
      <c r="K137" s="308" t="str">
        <f t="shared" si="7"/>
        <v>Marshall Inseln</v>
      </c>
      <c r="L137" s="405" t="s">
        <v>261</v>
      </c>
      <c r="M137" s="409">
        <v>52</v>
      </c>
      <c r="N137" s="409">
        <v>102</v>
      </c>
      <c r="O137" s="307"/>
      <c r="P137" s="181"/>
      <c r="Q137" s="181"/>
      <c r="R137" s="181"/>
      <c r="S137" s="176"/>
      <c r="T137" s="176"/>
      <c r="U137" s="176"/>
      <c r="V137" s="176"/>
      <c r="W137" s="179"/>
      <c r="X137" s="179"/>
      <c r="Y137" s="179"/>
      <c r="Z137" s="179"/>
      <c r="AA137" s="179"/>
      <c r="AB137" s="179"/>
      <c r="AH137" s="27"/>
    </row>
    <row r="138" spans="2:34" ht="13.5" hidden="1" customHeight="1" x14ac:dyDescent="0.2">
      <c r="B138" s="25"/>
      <c r="C138" s="45" t="str">
        <f t="shared" si="4"/>
        <v>Mauretanien</v>
      </c>
      <c r="D138" s="46"/>
      <c r="E138" s="46"/>
      <c r="F138" s="47"/>
      <c r="G138" s="48"/>
      <c r="H138" s="49">
        <f t="shared" si="5"/>
        <v>29</v>
      </c>
      <c r="I138" s="49">
        <f t="shared" si="6"/>
        <v>86</v>
      </c>
      <c r="J138" s="401"/>
      <c r="K138" s="308" t="str">
        <f t="shared" si="7"/>
        <v>Mauretanien</v>
      </c>
      <c r="L138" s="405" t="s">
        <v>192</v>
      </c>
      <c r="M138" s="409">
        <v>29</v>
      </c>
      <c r="N138" s="409">
        <v>86</v>
      </c>
      <c r="O138" s="307"/>
      <c r="P138" s="181"/>
      <c r="Q138" s="181"/>
      <c r="R138" s="181"/>
      <c r="S138" s="176"/>
      <c r="T138" s="176"/>
      <c r="U138" s="176"/>
      <c r="V138" s="176"/>
      <c r="W138" s="179"/>
      <c r="X138" s="179"/>
      <c r="Y138" s="179"/>
      <c r="Z138" s="179"/>
      <c r="AA138" s="179"/>
      <c r="AB138" s="179"/>
      <c r="AH138" s="27"/>
    </row>
    <row r="139" spans="2:34" ht="13.5" hidden="1" customHeight="1" x14ac:dyDescent="0.2">
      <c r="B139" s="25"/>
      <c r="C139" s="45" t="str">
        <f t="shared" si="4"/>
        <v>Mauritius</v>
      </c>
      <c r="D139" s="46"/>
      <c r="E139" s="46"/>
      <c r="F139" s="47"/>
      <c r="G139" s="48"/>
      <c r="H139" s="49">
        <f t="shared" si="5"/>
        <v>36</v>
      </c>
      <c r="I139" s="49">
        <f t="shared" si="6"/>
        <v>172</v>
      </c>
      <c r="J139" s="401"/>
      <c r="K139" s="308" t="str">
        <f t="shared" si="7"/>
        <v>Mauritius</v>
      </c>
      <c r="L139" s="405" t="s">
        <v>193</v>
      </c>
      <c r="M139" s="409">
        <v>36</v>
      </c>
      <c r="N139" s="409">
        <v>172</v>
      </c>
      <c r="O139" s="307"/>
      <c r="P139" s="181"/>
      <c r="Q139" s="181"/>
      <c r="R139" s="181"/>
      <c r="S139" s="176"/>
      <c r="T139" s="176"/>
      <c r="U139" s="176"/>
      <c r="V139" s="176"/>
      <c r="W139" s="179"/>
      <c r="X139" s="179"/>
      <c r="Y139" s="179"/>
      <c r="Z139" s="179"/>
      <c r="AA139" s="179"/>
      <c r="AB139" s="179"/>
      <c r="AH139" s="27"/>
    </row>
    <row r="140" spans="2:34" ht="13.5" hidden="1" customHeight="1" x14ac:dyDescent="0.2">
      <c r="B140" s="25"/>
      <c r="C140" s="45" t="str">
        <f t="shared" si="4"/>
        <v>Mexiko</v>
      </c>
      <c r="D140" s="46"/>
      <c r="E140" s="46"/>
      <c r="F140" s="47"/>
      <c r="G140" s="48"/>
      <c r="H140" s="49">
        <f t="shared" si="5"/>
        <v>40</v>
      </c>
      <c r="I140" s="49">
        <f t="shared" si="6"/>
        <v>177</v>
      </c>
      <c r="J140" s="401"/>
      <c r="K140" s="308" t="str">
        <f t="shared" si="7"/>
        <v>Mexiko</v>
      </c>
      <c r="L140" s="405" t="s">
        <v>194</v>
      </c>
      <c r="M140" s="409">
        <v>40</v>
      </c>
      <c r="N140" s="409">
        <v>177</v>
      </c>
      <c r="O140" s="307"/>
      <c r="P140" s="181"/>
      <c r="Q140" s="181"/>
      <c r="R140" s="181"/>
      <c r="S140" s="176"/>
      <c r="T140" s="176"/>
      <c r="U140" s="176"/>
      <c r="V140" s="176"/>
      <c r="W140" s="179"/>
      <c r="X140" s="179"/>
      <c r="Y140" s="179"/>
      <c r="Z140" s="179"/>
      <c r="AA140" s="179"/>
      <c r="AB140" s="179"/>
      <c r="AH140" s="27"/>
    </row>
    <row r="141" spans="2:34" ht="13.5" hidden="1" customHeight="1" x14ac:dyDescent="0.2">
      <c r="B141" s="25"/>
      <c r="C141" s="45" t="str">
        <f t="shared" si="4"/>
        <v>Moldau, Republik</v>
      </c>
      <c r="D141" s="46"/>
      <c r="E141" s="46"/>
      <c r="F141" s="87"/>
      <c r="G141" s="88"/>
      <c r="H141" s="49">
        <f t="shared" si="5"/>
        <v>21</v>
      </c>
      <c r="I141" s="49">
        <f t="shared" si="6"/>
        <v>73</v>
      </c>
      <c r="J141" s="401"/>
      <c r="K141" s="308" t="str">
        <f t="shared" si="7"/>
        <v>Moldau, Republik</v>
      </c>
      <c r="L141" s="405" t="s">
        <v>195</v>
      </c>
      <c r="M141" s="409">
        <v>21</v>
      </c>
      <c r="N141" s="409">
        <v>73</v>
      </c>
      <c r="O141" s="307"/>
      <c r="P141" s="181"/>
      <c r="Q141" s="181"/>
      <c r="R141" s="181"/>
      <c r="S141" s="176"/>
      <c r="T141" s="176"/>
      <c r="U141" s="176"/>
      <c r="V141" s="176"/>
      <c r="W141" s="179"/>
      <c r="X141" s="179"/>
      <c r="Y141" s="179"/>
      <c r="Z141" s="179"/>
      <c r="AA141" s="179"/>
      <c r="AB141" s="179"/>
      <c r="AH141" s="27"/>
    </row>
    <row r="142" spans="2:34" ht="13.5" hidden="1" customHeight="1" x14ac:dyDescent="0.2">
      <c r="B142" s="25"/>
      <c r="C142" s="45" t="str">
        <f t="shared" si="4"/>
        <v>Monaco</v>
      </c>
      <c r="D142" s="46"/>
      <c r="E142" s="46"/>
      <c r="F142" s="47"/>
      <c r="G142" s="48"/>
      <c r="H142" s="49">
        <f t="shared" si="5"/>
        <v>43</v>
      </c>
      <c r="I142" s="49">
        <f t="shared" si="6"/>
        <v>187</v>
      </c>
      <c r="J142" s="401"/>
      <c r="K142" s="308" t="str">
        <f t="shared" si="7"/>
        <v>Monaco</v>
      </c>
      <c r="L142" s="405" t="s">
        <v>81</v>
      </c>
      <c r="M142" s="409">
        <v>43</v>
      </c>
      <c r="N142" s="409">
        <v>187</v>
      </c>
      <c r="O142" s="307"/>
      <c r="P142" s="181"/>
      <c r="Q142" s="181"/>
      <c r="R142" s="181"/>
      <c r="S142" s="176"/>
      <c r="T142" s="176"/>
      <c r="U142" s="176"/>
      <c r="V142" s="176"/>
      <c r="W142" s="179"/>
      <c r="X142" s="179"/>
      <c r="Y142" s="179"/>
      <c r="Z142" s="179"/>
      <c r="AA142" s="179"/>
      <c r="AB142" s="179"/>
      <c r="AH142" s="27"/>
    </row>
    <row r="143" spans="2:34" ht="13.5" hidden="1" customHeight="1" x14ac:dyDescent="0.2">
      <c r="B143" s="25"/>
      <c r="C143" s="45" t="str">
        <f t="shared" si="4"/>
        <v>Mongolei</v>
      </c>
      <c r="D143" s="46"/>
      <c r="E143" s="46"/>
      <c r="F143" s="47"/>
      <c r="G143" s="48"/>
      <c r="H143" s="49">
        <f t="shared" si="5"/>
        <v>19</v>
      </c>
      <c r="I143" s="49">
        <f t="shared" si="6"/>
        <v>92</v>
      </c>
      <c r="J143" s="401"/>
      <c r="K143" s="308" t="str">
        <f t="shared" si="7"/>
        <v>Mongolei</v>
      </c>
      <c r="L143" s="405" t="s">
        <v>196</v>
      </c>
      <c r="M143" s="409">
        <v>19</v>
      </c>
      <c r="N143" s="409">
        <v>92</v>
      </c>
      <c r="O143" s="307"/>
      <c r="P143" s="181"/>
      <c r="Q143" s="181"/>
      <c r="R143" s="181"/>
      <c r="S143" s="176"/>
      <c r="T143" s="176"/>
      <c r="U143" s="176"/>
      <c r="V143" s="176"/>
      <c r="W143" s="179"/>
      <c r="X143" s="179"/>
      <c r="Y143" s="179"/>
      <c r="Z143" s="179"/>
      <c r="AA143" s="179"/>
      <c r="AB143" s="179"/>
      <c r="AH143" s="27"/>
    </row>
    <row r="144" spans="2:34" ht="13.5" hidden="1" customHeight="1" x14ac:dyDescent="0.2">
      <c r="B144" s="25"/>
      <c r="C144" s="45" t="str">
        <f t="shared" si="4"/>
        <v>Montenegro</v>
      </c>
      <c r="D144" s="46"/>
      <c r="E144" s="46"/>
      <c r="F144" s="47"/>
      <c r="G144" s="48"/>
      <c r="H144" s="49">
        <f t="shared" si="5"/>
        <v>26</v>
      </c>
      <c r="I144" s="49">
        <f t="shared" si="6"/>
        <v>85</v>
      </c>
      <c r="J144" s="401"/>
      <c r="K144" s="308" t="str">
        <f t="shared" si="7"/>
        <v>Montenegro</v>
      </c>
      <c r="L144" s="405" t="s">
        <v>82</v>
      </c>
      <c r="M144" s="409">
        <v>26</v>
      </c>
      <c r="N144" s="409">
        <v>85</v>
      </c>
      <c r="O144" s="307"/>
      <c r="P144" s="181"/>
      <c r="Q144" s="181"/>
      <c r="R144" s="181"/>
      <c r="S144" s="176"/>
      <c r="T144" s="176"/>
      <c r="U144" s="176"/>
      <c r="V144" s="176"/>
      <c r="W144" s="179"/>
      <c r="X144" s="179"/>
      <c r="Y144" s="179"/>
      <c r="Z144" s="179"/>
      <c r="AA144" s="179"/>
      <c r="AB144" s="179"/>
      <c r="AH144" s="27"/>
    </row>
    <row r="145" spans="2:34" ht="13.5" hidden="1" customHeight="1" x14ac:dyDescent="0.2">
      <c r="B145" s="25"/>
      <c r="C145" s="45" t="str">
        <f t="shared" si="4"/>
        <v>Mosambik</v>
      </c>
      <c r="D145" s="46"/>
      <c r="E145" s="46"/>
      <c r="F145" s="47"/>
      <c r="G145" s="48"/>
      <c r="H145" s="49">
        <f t="shared" si="5"/>
        <v>42</v>
      </c>
      <c r="I145" s="49">
        <f t="shared" si="6"/>
        <v>208</v>
      </c>
      <c r="J145" s="401"/>
      <c r="K145" s="308" t="str">
        <f t="shared" si="7"/>
        <v>Mosambik</v>
      </c>
      <c r="L145" s="405" t="s">
        <v>197</v>
      </c>
      <c r="M145" s="409">
        <v>42</v>
      </c>
      <c r="N145" s="409">
        <v>208</v>
      </c>
      <c r="O145" s="307"/>
      <c r="P145" s="181"/>
      <c r="Q145" s="181"/>
      <c r="R145" s="181"/>
      <c r="S145" s="176"/>
      <c r="T145" s="176"/>
      <c r="U145" s="176"/>
      <c r="V145" s="176"/>
      <c r="W145" s="179"/>
      <c r="X145" s="179"/>
      <c r="Y145" s="179"/>
      <c r="Z145" s="179"/>
      <c r="AA145" s="179"/>
      <c r="AB145" s="179"/>
      <c r="AH145" s="27"/>
    </row>
    <row r="146" spans="2:34" ht="13.5" hidden="1" customHeight="1" x14ac:dyDescent="0.2">
      <c r="B146" s="25"/>
      <c r="C146" s="45" t="str">
        <f t="shared" si="4"/>
        <v>Myanmar</v>
      </c>
      <c r="D146" s="46"/>
      <c r="E146" s="46"/>
      <c r="F146" s="47"/>
      <c r="G146" s="48"/>
      <c r="H146" s="49">
        <f t="shared" si="5"/>
        <v>29</v>
      </c>
      <c r="I146" s="49">
        <f t="shared" si="6"/>
        <v>155</v>
      </c>
      <c r="J146" s="401"/>
      <c r="K146" s="308" t="str">
        <f t="shared" si="7"/>
        <v>Myanmar</v>
      </c>
      <c r="L146" s="405" t="s">
        <v>198</v>
      </c>
      <c r="M146" s="409">
        <v>29</v>
      </c>
      <c r="N146" s="409">
        <v>155</v>
      </c>
      <c r="O146" s="307"/>
      <c r="P146" s="181"/>
      <c r="Q146" s="181"/>
      <c r="R146" s="181"/>
      <c r="S146" s="176"/>
      <c r="T146" s="176"/>
      <c r="U146" s="176"/>
      <c r="V146" s="176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27"/>
    </row>
    <row r="147" spans="2:34" ht="13.5" hidden="1" customHeight="1" x14ac:dyDescent="0.2">
      <c r="B147" s="25"/>
      <c r="C147" s="45" t="str">
        <f t="shared" si="4"/>
        <v>Namibia</v>
      </c>
      <c r="D147" s="46"/>
      <c r="E147" s="46"/>
      <c r="F147" s="47"/>
      <c r="G147" s="48"/>
      <c r="H147" s="49">
        <f t="shared" si="5"/>
        <v>25</v>
      </c>
      <c r="I147" s="49">
        <f t="shared" si="6"/>
        <v>112</v>
      </c>
      <c r="J147" s="401"/>
      <c r="K147" s="308" t="str">
        <f t="shared" si="7"/>
        <v>Namibia</v>
      </c>
      <c r="L147" s="405" t="s">
        <v>199</v>
      </c>
      <c r="M147" s="409">
        <v>25</v>
      </c>
      <c r="N147" s="409">
        <v>112</v>
      </c>
      <c r="O147" s="307"/>
      <c r="P147" s="181"/>
      <c r="Q147" s="181"/>
      <c r="R147" s="181"/>
      <c r="S147" s="176"/>
      <c r="T147" s="176"/>
      <c r="U147" s="176"/>
      <c r="V147" s="176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27"/>
    </row>
    <row r="148" spans="2:34" ht="13.5" hidden="1" customHeight="1" x14ac:dyDescent="0.2">
      <c r="B148" s="25"/>
      <c r="C148" s="45" t="str">
        <f t="shared" si="4"/>
        <v>Nepal</v>
      </c>
      <c r="D148" s="46"/>
      <c r="E148" s="46"/>
      <c r="F148" s="47"/>
      <c r="G148" s="48"/>
      <c r="H148" s="49">
        <f t="shared" si="5"/>
        <v>30</v>
      </c>
      <c r="I148" s="49">
        <f t="shared" si="6"/>
        <v>126</v>
      </c>
      <c r="J148" s="401"/>
      <c r="K148" s="308" t="str">
        <f t="shared" si="7"/>
        <v>Nepal</v>
      </c>
      <c r="L148" s="405" t="s">
        <v>200</v>
      </c>
      <c r="M148" s="409">
        <v>30</v>
      </c>
      <c r="N148" s="409">
        <v>126</v>
      </c>
      <c r="O148" s="307"/>
      <c r="P148" s="181"/>
      <c r="Q148" s="181"/>
      <c r="R148" s="181"/>
      <c r="S148" s="176"/>
      <c r="T148" s="176"/>
      <c r="U148" s="176"/>
      <c r="V148" s="176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27"/>
    </row>
    <row r="149" spans="2:34" ht="13.5" hidden="1" customHeight="1" x14ac:dyDescent="0.2">
      <c r="B149" s="25"/>
      <c r="C149" s="45" t="str">
        <f t="shared" si="4"/>
        <v>Neuseeland</v>
      </c>
      <c r="D149" s="46"/>
      <c r="E149" s="46"/>
      <c r="F149" s="47"/>
      <c r="G149" s="48"/>
      <c r="H149" s="49">
        <f t="shared" si="5"/>
        <v>48</v>
      </c>
      <c r="I149" s="49">
        <f t="shared" si="6"/>
        <v>148</v>
      </c>
      <c r="J149" s="401"/>
      <c r="K149" s="308" t="str">
        <f t="shared" si="7"/>
        <v>Neuseeland</v>
      </c>
      <c r="L149" s="405" t="s">
        <v>83</v>
      </c>
      <c r="M149" s="409">
        <v>48</v>
      </c>
      <c r="N149" s="409">
        <v>148</v>
      </c>
      <c r="O149" s="307"/>
      <c r="P149" s="181"/>
      <c r="Q149" s="181"/>
      <c r="R149" s="181"/>
      <c r="S149" s="176"/>
      <c r="T149" s="176"/>
      <c r="U149" s="176"/>
      <c r="V149" s="176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27"/>
    </row>
    <row r="150" spans="2:34" ht="13.5" hidden="1" customHeight="1" x14ac:dyDescent="0.2">
      <c r="B150" s="25"/>
      <c r="C150" s="45" t="str">
        <f t="shared" ref="C150:C212" si="8">K150</f>
        <v>Nicaragua</v>
      </c>
      <c r="D150" s="46"/>
      <c r="E150" s="46"/>
      <c r="F150" s="47"/>
      <c r="G150" s="48"/>
      <c r="H150" s="49">
        <f t="shared" ref="H150:H213" si="9">IF($C$260=3,M150,IF($C$260=6,M150,$H$250))</f>
        <v>38</v>
      </c>
      <c r="I150" s="49">
        <f t="shared" ref="I150:I213" si="10">IF($C$260=3,N150,IF($C$260=6,N150,$H$251))</f>
        <v>105</v>
      </c>
      <c r="J150" s="401"/>
      <c r="K150" s="308" t="str">
        <f t="shared" ref="K150:K213" si="11">IF($C$260=3,L150,IF($C$260=6,L150,$H$254))</f>
        <v>Nicaragua</v>
      </c>
      <c r="L150" s="405" t="s">
        <v>201</v>
      </c>
      <c r="M150" s="409">
        <v>38</v>
      </c>
      <c r="N150" s="409">
        <v>105</v>
      </c>
      <c r="O150" s="307"/>
      <c r="P150" s="181"/>
      <c r="Q150" s="181"/>
      <c r="R150" s="181"/>
      <c r="S150" s="176"/>
      <c r="T150" s="176"/>
      <c r="U150" s="176"/>
      <c r="V150" s="176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27"/>
    </row>
    <row r="151" spans="2:34" ht="13.5" hidden="1" customHeight="1" x14ac:dyDescent="0.2">
      <c r="B151" s="25"/>
      <c r="C151" s="45" t="str">
        <f t="shared" si="8"/>
        <v>Niederlande</v>
      </c>
      <c r="D151" s="46"/>
      <c r="E151" s="46"/>
      <c r="F151" s="47"/>
      <c r="G151" s="48"/>
      <c r="H151" s="49">
        <f t="shared" si="9"/>
        <v>39</v>
      </c>
      <c r="I151" s="49">
        <f t="shared" si="10"/>
        <v>122</v>
      </c>
      <c r="J151" s="401"/>
      <c r="K151" s="308" t="str">
        <f t="shared" si="11"/>
        <v>Niederlande</v>
      </c>
      <c r="L151" s="405" t="s">
        <v>33</v>
      </c>
      <c r="M151" s="409">
        <v>39</v>
      </c>
      <c r="N151" s="409">
        <v>122</v>
      </c>
      <c r="O151" s="307"/>
      <c r="P151" s="181"/>
      <c r="Q151" s="181"/>
      <c r="R151" s="181"/>
      <c r="S151" s="176"/>
      <c r="T151" s="176"/>
      <c r="U151" s="176"/>
      <c r="V151" s="176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27"/>
    </row>
    <row r="152" spans="2:34" ht="13.5" hidden="1" customHeight="1" x14ac:dyDescent="0.2">
      <c r="B152" s="25"/>
      <c r="C152" s="45" t="str">
        <f t="shared" si="8"/>
        <v>Niger</v>
      </c>
      <c r="D152" s="46"/>
      <c r="E152" s="46"/>
      <c r="F152" s="47"/>
      <c r="G152" s="48"/>
      <c r="H152" s="49">
        <f t="shared" si="9"/>
        <v>35</v>
      </c>
      <c r="I152" s="49">
        <f t="shared" si="10"/>
        <v>131</v>
      </c>
      <c r="J152" s="401"/>
      <c r="K152" s="308" t="str">
        <f t="shared" si="11"/>
        <v>Niger</v>
      </c>
      <c r="L152" s="405" t="s">
        <v>202</v>
      </c>
      <c r="M152" s="409">
        <v>35</v>
      </c>
      <c r="N152" s="409">
        <v>131</v>
      </c>
      <c r="O152" s="307"/>
      <c r="P152" s="181"/>
      <c r="Q152" s="181"/>
      <c r="R152" s="181"/>
      <c r="S152" s="176"/>
      <c r="T152" s="176"/>
      <c r="U152" s="176"/>
      <c r="V152" s="176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27"/>
    </row>
    <row r="153" spans="2:34" ht="13.5" hidden="1" customHeight="1" x14ac:dyDescent="0.2">
      <c r="B153" s="25"/>
      <c r="C153" s="45" t="str">
        <f t="shared" si="8"/>
        <v>Nigeria</v>
      </c>
      <c r="D153" s="46"/>
      <c r="E153" s="46"/>
      <c r="F153" s="47"/>
      <c r="G153" s="48"/>
      <c r="H153" s="49">
        <f t="shared" si="9"/>
        <v>38</v>
      </c>
      <c r="I153" s="49">
        <f t="shared" si="10"/>
        <v>182</v>
      </c>
      <c r="J153" s="401"/>
      <c r="K153" s="308" t="str">
        <f t="shared" si="11"/>
        <v>Nigeria</v>
      </c>
      <c r="L153" s="405" t="s">
        <v>203</v>
      </c>
      <c r="M153" s="409">
        <v>38</v>
      </c>
      <c r="N153" s="409">
        <v>182</v>
      </c>
      <c r="O153" s="307"/>
      <c r="P153" s="181"/>
      <c r="Q153" s="181"/>
      <c r="R153" s="181"/>
      <c r="S153" s="176"/>
      <c r="T153" s="176"/>
      <c r="U153" s="176"/>
      <c r="V153" s="176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27"/>
    </row>
    <row r="154" spans="2:34" ht="13.5" hidden="1" customHeight="1" x14ac:dyDescent="0.2">
      <c r="B154" s="25"/>
      <c r="C154" s="45" t="str">
        <f t="shared" si="8"/>
        <v>Nordmazedonien</v>
      </c>
      <c r="D154" s="46"/>
      <c r="E154" s="46"/>
      <c r="F154" s="47"/>
      <c r="G154" s="48"/>
      <c r="H154" s="49">
        <f t="shared" si="9"/>
        <v>22</v>
      </c>
      <c r="I154" s="49">
        <f t="shared" si="10"/>
        <v>89</v>
      </c>
      <c r="J154" s="401"/>
      <c r="K154" s="308" t="str">
        <f t="shared" si="11"/>
        <v>Nordmazedonien</v>
      </c>
      <c r="L154" s="405" t="s">
        <v>398</v>
      </c>
      <c r="M154" s="409">
        <v>22</v>
      </c>
      <c r="N154" s="409">
        <v>89</v>
      </c>
      <c r="O154" s="307"/>
      <c r="P154" s="181"/>
      <c r="Q154" s="181"/>
      <c r="R154" s="181"/>
      <c r="S154" s="176"/>
      <c r="T154" s="176"/>
      <c r="U154" s="176"/>
      <c r="V154" s="176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27"/>
    </row>
    <row r="155" spans="2:34" ht="13.5" hidden="1" customHeight="1" x14ac:dyDescent="0.2">
      <c r="B155" s="25"/>
      <c r="C155" s="45" t="str">
        <f t="shared" si="8"/>
        <v>Norwegen</v>
      </c>
      <c r="D155" s="46"/>
      <c r="E155" s="46"/>
      <c r="F155" s="47"/>
      <c r="G155" s="48"/>
      <c r="H155" s="49">
        <f t="shared" si="9"/>
        <v>62</v>
      </c>
      <c r="I155" s="49">
        <f t="shared" si="10"/>
        <v>139</v>
      </c>
      <c r="J155" s="401"/>
      <c r="K155" s="308" t="str">
        <f t="shared" si="11"/>
        <v>Norwegen</v>
      </c>
      <c r="L155" s="405" t="s">
        <v>40</v>
      </c>
      <c r="M155" s="409">
        <v>62</v>
      </c>
      <c r="N155" s="409">
        <v>139</v>
      </c>
      <c r="O155" s="307"/>
      <c r="P155" s="181"/>
      <c r="Q155" s="181"/>
      <c r="R155" s="181"/>
      <c r="S155" s="176"/>
      <c r="T155" s="176"/>
      <c r="U155" s="176"/>
      <c r="V155" s="176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27"/>
    </row>
    <row r="156" spans="2:34" ht="13.5" customHeight="1" x14ac:dyDescent="0.2">
      <c r="B156" s="25"/>
      <c r="C156" s="45" t="str">
        <f t="shared" si="8"/>
        <v>Österreich</v>
      </c>
      <c r="D156" s="46"/>
      <c r="E156" s="46"/>
      <c r="F156" s="47"/>
      <c r="G156" s="48"/>
      <c r="H156" s="49">
        <f t="shared" si="9"/>
        <v>41</v>
      </c>
      <c r="I156" s="49">
        <f t="shared" si="10"/>
        <v>117</v>
      </c>
      <c r="J156" s="401"/>
      <c r="K156" s="308" t="str">
        <f t="shared" si="11"/>
        <v>Österreich</v>
      </c>
      <c r="L156" s="405" t="s">
        <v>258</v>
      </c>
      <c r="M156" s="409">
        <v>41</v>
      </c>
      <c r="N156" s="409">
        <v>117</v>
      </c>
      <c r="O156" s="307"/>
      <c r="P156" s="181"/>
      <c r="Q156" s="181"/>
      <c r="R156" s="181"/>
      <c r="S156" s="176"/>
      <c r="T156" s="176"/>
      <c r="U156" s="176"/>
      <c r="V156" s="176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27"/>
    </row>
    <row r="157" spans="2:34" ht="13.5" hidden="1" customHeight="1" x14ac:dyDescent="0.2">
      <c r="B157" s="25"/>
      <c r="C157" s="45" t="str">
        <f t="shared" si="8"/>
        <v>Oman</v>
      </c>
      <c r="D157" s="46"/>
      <c r="E157" s="46"/>
      <c r="F157" s="47"/>
      <c r="G157" s="48"/>
      <c r="H157" s="49">
        <f t="shared" si="9"/>
        <v>53</v>
      </c>
      <c r="I157" s="49">
        <f t="shared" si="10"/>
        <v>141</v>
      </c>
      <c r="J157" s="401"/>
      <c r="K157" s="308" t="str">
        <f t="shared" si="11"/>
        <v>Oman</v>
      </c>
      <c r="L157" s="405" t="s">
        <v>204</v>
      </c>
      <c r="M157" s="409">
        <v>53</v>
      </c>
      <c r="N157" s="409">
        <v>141</v>
      </c>
      <c r="O157" s="307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27"/>
    </row>
    <row r="158" spans="2:34" ht="13.5" hidden="1" customHeight="1" x14ac:dyDescent="0.2">
      <c r="B158" s="25"/>
      <c r="C158" s="45" t="str">
        <f t="shared" si="8"/>
        <v>Pakistan - Islamabad</v>
      </c>
      <c r="D158" s="46"/>
      <c r="E158" s="46"/>
      <c r="F158" s="47"/>
      <c r="G158" s="48"/>
      <c r="H158" s="49">
        <f t="shared" si="9"/>
        <v>19</v>
      </c>
      <c r="I158" s="49">
        <f t="shared" si="10"/>
        <v>238</v>
      </c>
      <c r="J158" s="401"/>
      <c r="K158" s="308" t="str">
        <f t="shared" si="11"/>
        <v>Pakistan - Islamabad</v>
      </c>
      <c r="L158" s="405" t="s">
        <v>206</v>
      </c>
      <c r="M158" s="409">
        <v>19</v>
      </c>
      <c r="N158" s="409">
        <v>238</v>
      </c>
      <c r="O158" s="307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27"/>
    </row>
    <row r="159" spans="2:34" ht="13.5" hidden="1" customHeight="1" x14ac:dyDescent="0.2">
      <c r="B159" s="25"/>
      <c r="C159" s="45" t="str">
        <f t="shared" si="8"/>
        <v>Pakistan - im Übrigen</v>
      </c>
      <c r="D159" s="46"/>
      <c r="E159" s="46"/>
      <c r="F159" s="47"/>
      <c r="G159" s="48"/>
      <c r="H159" s="49">
        <f t="shared" si="9"/>
        <v>28</v>
      </c>
      <c r="I159" s="49">
        <f t="shared" si="10"/>
        <v>122</v>
      </c>
      <c r="J159" s="401"/>
      <c r="K159" s="308" t="str">
        <f t="shared" si="11"/>
        <v>Pakistan - im Übrigen</v>
      </c>
      <c r="L159" s="405" t="s">
        <v>205</v>
      </c>
      <c r="M159" s="409">
        <v>28</v>
      </c>
      <c r="N159" s="409">
        <v>122</v>
      </c>
      <c r="O159" s="307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27"/>
    </row>
    <row r="160" spans="2:34" ht="13.5" hidden="1" customHeight="1" x14ac:dyDescent="0.2">
      <c r="B160" s="25"/>
      <c r="C160" s="45" t="str">
        <f t="shared" si="8"/>
        <v>Palau</v>
      </c>
      <c r="D160" s="46"/>
      <c r="E160" s="46"/>
      <c r="F160" s="47"/>
      <c r="G160" s="48"/>
      <c r="H160" s="49">
        <f t="shared" si="9"/>
        <v>42</v>
      </c>
      <c r="I160" s="49">
        <f t="shared" si="10"/>
        <v>179</v>
      </c>
      <c r="J160" s="401"/>
      <c r="K160" s="308" t="str">
        <f t="shared" si="11"/>
        <v>Palau</v>
      </c>
      <c r="L160" s="405" t="s">
        <v>262</v>
      </c>
      <c r="M160" s="409">
        <v>42</v>
      </c>
      <c r="N160" s="409">
        <v>179</v>
      </c>
      <c r="O160" s="307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27"/>
    </row>
    <row r="161" spans="2:34" ht="13.5" hidden="1" customHeight="1" x14ac:dyDescent="0.2">
      <c r="B161" s="25"/>
      <c r="C161" s="45" t="str">
        <f t="shared" si="8"/>
        <v>Panama</v>
      </c>
      <c r="D161" s="46"/>
      <c r="E161" s="46"/>
      <c r="F161" s="47"/>
      <c r="G161" s="48"/>
      <c r="H161" s="49">
        <f t="shared" si="9"/>
        <v>34</v>
      </c>
      <c r="I161" s="49">
        <f t="shared" si="10"/>
        <v>82</v>
      </c>
      <c r="J161" s="401"/>
      <c r="K161" s="308" t="str">
        <f t="shared" si="11"/>
        <v>Panama</v>
      </c>
      <c r="L161" s="405" t="s">
        <v>207</v>
      </c>
      <c r="M161" s="409">
        <v>34</v>
      </c>
      <c r="N161" s="409">
        <v>82</v>
      </c>
      <c r="O161" s="402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27"/>
    </row>
    <row r="162" spans="2:34" ht="13.5" hidden="1" customHeight="1" x14ac:dyDescent="0.2">
      <c r="B162" s="25"/>
      <c r="C162" s="45" t="str">
        <f t="shared" si="8"/>
        <v>Papua-Neuguinea</v>
      </c>
      <c r="D162" s="46"/>
      <c r="E162" s="46"/>
      <c r="F162" s="47"/>
      <c r="G162" s="48"/>
      <c r="H162" s="49">
        <f t="shared" si="9"/>
        <v>49</v>
      </c>
      <c r="I162" s="49">
        <f t="shared" si="10"/>
        <v>159</v>
      </c>
      <c r="J162" s="401"/>
      <c r="K162" s="308" t="str">
        <f t="shared" si="11"/>
        <v>Papua-Neuguinea</v>
      </c>
      <c r="L162" s="405" t="s">
        <v>208</v>
      </c>
      <c r="M162" s="409">
        <v>49</v>
      </c>
      <c r="N162" s="409">
        <v>159</v>
      </c>
      <c r="O162" s="402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27"/>
    </row>
    <row r="163" spans="2:34" ht="13.5" hidden="1" customHeight="1" x14ac:dyDescent="0.2">
      <c r="B163" s="25"/>
      <c r="C163" s="45" t="str">
        <f t="shared" si="8"/>
        <v>Paraguay</v>
      </c>
      <c r="D163" s="46"/>
      <c r="E163" s="46"/>
      <c r="F163" s="47"/>
      <c r="G163" s="48"/>
      <c r="H163" s="49">
        <f t="shared" si="9"/>
        <v>32</v>
      </c>
      <c r="I163" s="49">
        <f t="shared" si="10"/>
        <v>124</v>
      </c>
      <c r="J163" s="401"/>
      <c r="K163" s="308" t="str">
        <f t="shared" si="11"/>
        <v>Paraguay</v>
      </c>
      <c r="L163" s="405" t="s">
        <v>209</v>
      </c>
      <c r="M163" s="409">
        <v>32</v>
      </c>
      <c r="N163" s="409">
        <v>124</v>
      </c>
      <c r="O163" s="307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27"/>
    </row>
    <row r="164" spans="2:34" ht="13.5" hidden="1" customHeight="1" x14ac:dyDescent="0.2">
      <c r="B164" s="25"/>
      <c r="C164" s="45" t="str">
        <f t="shared" si="8"/>
        <v>Peru</v>
      </c>
      <c r="D164" s="46"/>
      <c r="E164" s="46"/>
      <c r="F164" s="47"/>
      <c r="G164" s="48"/>
      <c r="H164" s="49">
        <f t="shared" si="9"/>
        <v>28</v>
      </c>
      <c r="I164" s="49">
        <f t="shared" si="10"/>
        <v>143</v>
      </c>
      <c r="J164" s="401"/>
      <c r="K164" s="308" t="str">
        <f t="shared" si="11"/>
        <v>Peru</v>
      </c>
      <c r="L164" s="405" t="s">
        <v>210</v>
      </c>
      <c r="M164" s="409">
        <v>28</v>
      </c>
      <c r="N164" s="409">
        <v>143</v>
      </c>
      <c r="O164" s="402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27"/>
    </row>
    <row r="165" spans="2:34" ht="13.5" hidden="1" customHeight="1" x14ac:dyDescent="0.2">
      <c r="B165" s="25"/>
      <c r="C165" s="45" t="str">
        <f t="shared" si="8"/>
        <v>Philippinen</v>
      </c>
      <c r="D165" s="46"/>
      <c r="E165" s="46"/>
      <c r="F165" s="47"/>
      <c r="G165" s="48"/>
      <c r="H165" s="49">
        <f t="shared" si="9"/>
        <v>34</v>
      </c>
      <c r="I165" s="49">
        <f t="shared" si="10"/>
        <v>140</v>
      </c>
      <c r="J165" s="401"/>
      <c r="K165" s="308" t="str">
        <f t="shared" si="11"/>
        <v>Philippinen</v>
      </c>
      <c r="L165" s="405" t="s">
        <v>211</v>
      </c>
      <c r="M165" s="409">
        <v>34</v>
      </c>
      <c r="N165" s="409">
        <v>140</v>
      </c>
      <c r="O165" s="307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27"/>
    </row>
    <row r="166" spans="2:34" ht="13.5" hidden="1" customHeight="1" x14ac:dyDescent="0.2">
      <c r="B166" s="25"/>
      <c r="C166" s="45" t="str">
        <f t="shared" si="8"/>
        <v>Polen - Breslau</v>
      </c>
      <c r="D166" s="46"/>
      <c r="E166" s="46"/>
      <c r="F166" s="47"/>
      <c r="G166" s="48"/>
      <c r="H166" s="49">
        <f t="shared" si="9"/>
        <v>27</v>
      </c>
      <c r="I166" s="49">
        <f t="shared" si="10"/>
        <v>117</v>
      </c>
      <c r="J166" s="401"/>
      <c r="K166" s="308" t="str">
        <f t="shared" si="11"/>
        <v>Polen - Breslau</v>
      </c>
      <c r="L166" s="405" t="s">
        <v>263</v>
      </c>
      <c r="M166" s="409">
        <v>27</v>
      </c>
      <c r="N166" s="409">
        <v>117</v>
      </c>
      <c r="O166" s="402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27"/>
    </row>
    <row r="167" spans="2:34" ht="13.5" hidden="1" customHeight="1" x14ac:dyDescent="0.2">
      <c r="B167" s="25"/>
      <c r="C167" s="45" t="str">
        <f t="shared" si="8"/>
        <v>Polen - Danzig</v>
      </c>
      <c r="D167" s="46"/>
      <c r="E167" s="46"/>
      <c r="F167" s="47"/>
      <c r="G167" s="48"/>
      <c r="H167" s="49">
        <f t="shared" si="9"/>
        <v>25</v>
      </c>
      <c r="I167" s="49">
        <f t="shared" si="10"/>
        <v>84</v>
      </c>
      <c r="J167" s="401"/>
      <c r="K167" s="308" t="str">
        <f t="shared" si="11"/>
        <v>Polen - Danzig</v>
      </c>
      <c r="L167" s="405" t="s">
        <v>264</v>
      </c>
      <c r="M167" s="409">
        <v>25</v>
      </c>
      <c r="N167" s="409">
        <v>84</v>
      </c>
      <c r="O167" s="307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27"/>
    </row>
    <row r="168" spans="2:34" ht="13.5" hidden="1" customHeight="1" x14ac:dyDescent="0.2">
      <c r="B168" s="25"/>
      <c r="C168" s="45" t="str">
        <f t="shared" si="8"/>
        <v>Polen - Krakau</v>
      </c>
      <c r="D168" s="46"/>
      <c r="E168" s="46"/>
      <c r="F168" s="47"/>
      <c r="G168" s="48"/>
      <c r="H168" s="49">
        <f t="shared" si="9"/>
        <v>22</v>
      </c>
      <c r="I168" s="49">
        <f t="shared" si="10"/>
        <v>86</v>
      </c>
      <c r="J168" s="401"/>
      <c r="K168" s="308" t="str">
        <f t="shared" si="11"/>
        <v>Polen - Krakau</v>
      </c>
      <c r="L168" s="405" t="s">
        <v>265</v>
      </c>
      <c r="M168" s="409">
        <v>22</v>
      </c>
      <c r="N168" s="409">
        <v>86</v>
      </c>
      <c r="O168" s="307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27"/>
    </row>
    <row r="169" spans="2:34" ht="13.5" hidden="1" customHeight="1" x14ac:dyDescent="0.2">
      <c r="B169" s="25"/>
      <c r="C169" s="45" t="str">
        <f t="shared" si="8"/>
        <v>Polen - Warschau</v>
      </c>
      <c r="D169" s="46"/>
      <c r="E169" s="46"/>
      <c r="F169" s="47"/>
      <c r="G169" s="48"/>
      <c r="H169" s="49">
        <f t="shared" si="9"/>
        <v>24</v>
      </c>
      <c r="I169" s="49">
        <f t="shared" si="10"/>
        <v>109</v>
      </c>
      <c r="J169" s="401"/>
      <c r="K169" s="308" t="str">
        <f t="shared" si="11"/>
        <v>Polen - Warschau</v>
      </c>
      <c r="L169" s="405" t="s">
        <v>266</v>
      </c>
      <c r="M169" s="409">
        <v>24</v>
      </c>
      <c r="N169" s="409">
        <v>109</v>
      </c>
      <c r="O169" s="307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27"/>
    </row>
    <row r="170" spans="2:34" ht="13.5" hidden="1" customHeight="1" x14ac:dyDescent="0.2">
      <c r="B170" s="25"/>
      <c r="C170" s="45" t="str">
        <f t="shared" si="8"/>
        <v>Polen - im Übrigen</v>
      </c>
      <c r="D170" s="46"/>
      <c r="E170" s="46"/>
      <c r="F170" s="47"/>
      <c r="G170" s="48"/>
      <c r="H170" s="49">
        <f t="shared" si="9"/>
        <v>24</v>
      </c>
      <c r="I170" s="49">
        <f t="shared" si="10"/>
        <v>60</v>
      </c>
      <c r="J170" s="401"/>
      <c r="K170" s="308" t="str">
        <f t="shared" si="11"/>
        <v>Polen - im Übrigen</v>
      </c>
      <c r="L170" s="405" t="s">
        <v>212</v>
      </c>
      <c r="M170" s="409">
        <v>24</v>
      </c>
      <c r="N170" s="409">
        <v>60</v>
      </c>
      <c r="O170" s="307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27"/>
    </row>
    <row r="171" spans="2:34" ht="13.5" hidden="1" customHeight="1" x14ac:dyDescent="0.2">
      <c r="B171" s="25"/>
      <c r="C171" s="45" t="str">
        <f t="shared" si="8"/>
        <v>Portugal</v>
      </c>
      <c r="D171" s="46"/>
      <c r="E171" s="46"/>
      <c r="F171" s="47"/>
      <c r="G171" s="48"/>
      <c r="H171" s="49">
        <f t="shared" si="9"/>
        <v>26</v>
      </c>
      <c r="I171" s="49">
        <f t="shared" si="10"/>
        <v>111</v>
      </c>
      <c r="J171" s="401"/>
      <c r="K171" s="308" t="str">
        <f t="shared" si="11"/>
        <v>Portugal</v>
      </c>
      <c r="L171" s="407" t="s">
        <v>270</v>
      </c>
      <c r="M171" s="408">
        <v>26</v>
      </c>
      <c r="N171" s="408">
        <v>111</v>
      </c>
      <c r="O171" s="307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27"/>
    </row>
    <row r="172" spans="2:34" ht="13.5" hidden="1" customHeight="1" x14ac:dyDescent="0.2">
      <c r="B172" s="25"/>
      <c r="C172" s="45" t="str">
        <f t="shared" si="8"/>
        <v>Ruanda</v>
      </c>
      <c r="D172" s="46"/>
      <c r="E172" s="46"/>
      <c r="F172" s="47"/>
      <c r="G172" s="48"/>
      <c r="H172" s="49">
        <f t="shared" si="9"/>
        <v>36</v>
      </c>
      <c r="I172" s="49">
        <f t="shared" si="10"/>
        <v>117</v>
      </c>
      <c r="J172" s="401"/>
      <c r="K172" s="308" t="str">
        <f t="shared" si="11"/>
        <v>Ruanda</v>
      </c>
      <c r="L172" s="407" t="s">
        <v>213</v>
      </c>
      <c r="M172" s="408">
        <v>36</v>
      </c>
      <c r="N172" s="408">
        <v>117</v>
      </c>
      <c r="O172" s="307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27"/>
    </row>
    <row r="173" spans="2:34" ht="13.5" hidden="1" customHeight="1" x14ac:dyDescent="0.2">
      <c r="B173" s="25"/>
      <c r="C173" s="45" t="str">
        <f t="shared" si="8"/>
        <v>Rumänien - Bukarest</v>
      </c>
      <c r="D173" s="46"/>
      <c r="E173" s="46"/>
      <c r="F173" s="47"/>
      <c r="G173" s="48"/>
      <c r="H173" s="49">
        <f t="shared" si="9"/>
        <v>26</v>
      </c>
      <c r="I173" s="49">
        <f t="shared" si="10"/>
        <v>92</v>
      </c>
      <c r="J173" s="401"/>
      <c r="K173" s="308" t="str">
        <f t="shared" si="11"/>
        <v>Rumänien - Bukarest</v>
      </c>
      <c r="L173" s="407" t="s">
        <v>63</v>
      </c>
      <c r="M173" s="408">
        <v>26</v>
      </c>
      <c r="N173" s="408">
        <v>92</v>
      </c>
      <c r="O173" s="307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27"/>
    </row>
    <row r="174" spans="2:34" ht="13.5" hidden="1" customHeight="1" x14ac:dyDescent="0.2">
      <c r="B174" s="25"/>
      <c r="C174" s="45" t="str">
        <f t="shared" si="8"/>
        <v>Rumänien - im Übrigen</v>
      </c>
      <c r="D174" s="46"/>
      <c r="E174" s="46"/>
      <c r="F174" s="47"/>
      <c r="G174" s="48"/>
      <c r="H174" s="49">
        <f t="shared" si="9"/>
        <v>22</v>
      </c>
      <c r="I174" s="49">
        <f t="shared" si="10"/>
        <v>89</v>
      </c>
      <c r="J174" s="401"/>
      <c r="K174" s="308" t="str">
        <f t="shared" si="11"/>
        <v>Rumänien - im Übrigen</v>
      </c>
      <c r="L174" s="407" t="s">
        <v>214</v>
      </c>
      <c r="M174" s="408">
        <v>22</v>
      </c>
      <c r="N174" s="408">
        <v>89</v>
      </c>
      <c r="O174" s="307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27"/>
    </row>
    <row r="175" spans="2:34" ht="13.5" hidden="1" customHeight="1" x14ac:dyDescent="0.2">
      <c r="B175" s="25"/>
      <c r="C175" s="45" t="str">
        <f t="shared" si="8"/>
        <v>Russland - Jekaterinburg</v>
      </c>
      <c r="D175" s="46"/>
      <c r="E175" s="46"/>
      <c r="F175" s="47"/>
      <c r="G175" s="48"/>
      <c r="H175" s="49">
        <f t="shared" si="9"/>
        <v>23</v>
      </c>
      <c r="I175" s="49">
        <f t="shared" si="10"/>
        <v>84</v>
      </c>
      <c r="J175" s="401"/>
      <c r="K175" s="308" t="str">
        <f t="shared" si="11"/>
        <v>Russland - Jekaterinburg</v>
      </c>
      <c r="L175" s="407" t="s">
        <v>380</v>
      </c>
      <c r="M175" s="408">
        <v>23</v>
      </c>
      <c r="N175" s="408">
        <v>84</v>
      </c>
      <c r="O175" s="307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27"/>
    </row>
    <row r="176" spans="2:34" ht="13.5" hidden="1" customHeight="1" x14ac:dyDescent="0.2">
      <c r="B176" s="25"/>
      <c r="C176" s="45" t="str">
        <f t="shared" si="8"/>
        <v>Russland - Moskau</v>
      </c>
      <c r="D176" s="46"/>
      <c r="E176" s="46"/>
      <c r="F176" s="47"/>
      <c r="G176" s="48"/>
      <c r="H176" s="49">
        <f t="shared" si="9"/>
        <v>25</v>
      </c>
      <c r="I176" s="49">
        <f t="shared" si="10"/>
        <v>110</v>
      </c>
      <c r="J176" s="401"/>
      <c r="K176" s="308" t="str">
        <f t="shared" si="11"/>
        <v>Russland - Moskau</v>
      </c>
      <c r="L176" s="407" t="s">
        <v>381</v>
      </c>
      <c r="M176" s="408">
        <v>25</v>
      </c>
      <c r="N176" s="408">
        <v>110</v>
      </c>
      <c r="O176" s="307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27"/>
    </row>
    <row r="177" spans="2:34" ht="13.5" hidden="1" customHeight="1" x14ac:dyDescent="0.2">
      <c r="B177" s="25"/>
      <c r="C177" s="45" t="str">
        <f t="shared" si="8"/>
        <v>Russland - St. Petersburg</v>
      </c>
      <c r="D177" s="46"/>
      <c r="E177" s="46"/>
      <c r="F177" s="47"/>
      <c r="G177" s="48"/>
      <c r="H177" s="49">
        <f t="shared" si="9"/>
        <v>21</v>
      </c>
      <c r="I177" s="49">
        <f t="shared" si="10"/>
        <v>114</v>
      </c>
      <c r="J177" s="401"/>
      <c r="K177" s="308" t="str">
        <f t="shared" si="11"/>
        <v>Russland - St. Petersburg</v>
      </c>
      <c r="L177" s="407" t="s">
        <v>413</v>
      </c>
      <c r="M177" s="408">
        <v>21</v>
      </c>
      <c r="N177" s="408">
        <v>114</v>
      </c>
      <c r="O177" s="307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27"/>
    </row>
    <row r="178" spans="2:34" ht="13.5" hidden="1" customHeight="1" x14ac:dyDescent="0.2">
      <c r="B178" s="25"/>
      <c r="C178" s="45" t="str">
        <f t="shared" si="8"/>
        <v>Russland - im Übrigen</v>
      </c>
      <c r="D178" s="46"/>
      <c r="E178" s="46"/>
      <c r="F178" s="47"/>
      <c r="G178" s="48"/>
      <c r="H178" s="49">
        <f t="shared" si="9"/>
        <v>20</v>
      </c>
      <c r="I178" s="49">
        <f t="shared" si="10"/>
        <v>58</v>
      </c>
      <c r="J178" s="401"/>
      <c r="K178" s="308" t="str">
        <f t="shared" si="11"/>
        <v>Russland - im Übrigen</v>
      </c>
      <c r="L178" s="407" t="s">
        <v>382</v>
      </c>
      <c r="M178" s="408">
        <v>20</v>
      </c>
      <c r="N178" s="408">
        <v>58</v>
      </c>
      <c r="O178" s="307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27"/>
    </row>
    <row r="179" spans="2:34" ht="13.5" hidden="1" customHeight="1" x14ac:dyDescent="0.2">
      <c r="B179" s="25"/>
      <c r="C179" s="45" t="str">
        <f t="shared" si="8"/>
        <v>Sambia</v>
      </c>
      <c r="D179" s="46"/>
      <c r="E179" s="46"/>
      <c r="F179" s="47"/>
      <c r="G179" s="48"/>
      <c r="H179" s="49">
        <f t="shared" si="9"/>
        <v>31</v>
      </c>
      <c r="I179" s="49">
        <f t="shared" si="10"/>
        <v>105</v>
      </c>
      <c r="J179" s="401"/>
      <c r="K179" s="308" t="str">
        <f t="shared" si="11"/>
        <v>Sambia</v>
      </c>
      <c r="L179" s="407" t="s">
        <v>215</v>
      </c>
      <c r="M179" s="408">
        <v>31</v>
      </c>
      <c r="N179" s="408">
        <v>105</v>
      </c>
      <c r="O179" s="307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27"/>
    </row>
    <row r="180" spans="2:34" ht="13.5" hidden="1" customHeight="1" x14ac:dyDescent="0.2">
      <c r="B180" s="25"/>
      <c r="C180" s="45" t="str">
        <f t="shared" si="8"/>
        <v>Samoa</v>
      </c>
      <c r="D180" s="46"/>
      <c r="E180" s="46"/>
      <c r="F180" s="47"/>
      <c r="G180" s="48"/>
      <c r="H180" s="49">
        <f t="shared" si="9"/>
        <v>32</v>
      </c>
      <c r="I180" s="49">
        <f t="shared" si="10"/>
        <v>105</v>
      </c>
      <c r="J180" s="401"/>
      <c r="K180" s="308" t="str">
        <f t="shared" si="11"/>
        <v>Samoa</v>
      </c>
      <c r="L180" s="407" t="s">
        <v>216</v>
      </c>
      <c r="M180" s="408">
        <v>32</v>
      </c>
      <c r="N180" s="408">
        <v>105</v>
      </c>
      <c r="O180" s="307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27"/>
    </row>
    <row r="181" spans="2:34" ht="12.75" hidden="1" customHeight="1" x14ac:dyDescent="0.2">
      <c r="B181" s="25"/>
      <c r="C181" s="45" t="str">
        <f t="shared" si="8"/>
        <v>San Marino</v>
      </c>
      <c r="D181" s="46"/>
      <c r="E181" s="46"/>
      <c r="F181" s="47"/>
      <c r="G181" s="48"/>
      <c r="H181" s="49">
        <f t="shared" si="9"/>
        <v>28</v>
      </c>
      <c r="I181" s="49">
        <f t="shared" si="10"/>
        <v>79</v>
      </c>
      <c r="J181" s="401"/>
      <c r="K181" s="308" t="str">
        <f t="shared" si="11"/>
        <v>San Marino</v>
      </c>
      <c r="L181" s="407" t="s">
        <v>217</v>
      </c>
      <c r="M181" s="408">
        <v>28</v>
      </c>
      <c r="N181" s="408">
        <v>79</v>
      </c>
      <c r="O181" s="307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</row>
    <row r="182" spans="2:34" ht="13.5" hidden="1" customHeight="1" x14ac:dyDescent="0.2">
      <c r="B182" s="25"/>
      <c r="C182" s="45" t="str">
        <f t="shared" si="8"/>
        <v>Sao Tomé und Principe</v>
      </c>
      <c r="D182" s="46"/>
      <c r="E182" s="46"/>
      <c r="F182" s="47"/>
      <c r="G182" s="48"/>
      <c r="H182" s="49">
        <f t="shared" si="9"/>
        <v>39</v>
      </c>
      <c r="I182" s="49">
        <f t="shared" si="10"/>
        <v>80</v>
      </c>
      <c r="J182" s="401"/>
      <c r="K182" s="308" t="str">
        <f t="shared" si="11"/>
        <v>Sao Tomé und Principe</v>
      </c>
      <c r="L182" s="407" t="s">
        <v>414</v>
      </c>
      <c r="M182" s="408">
        <v>39</v>
      </c>
      <c r="N182" s="408">
        <v>80</v>
      </c>
      <c r="O182" s="307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27"/>
    </row>
    <row r="183" spans="2:34" ht="13.5" hidden="1" customHeight="1" x14ac:dyDescent="0.2">
      <c r="B183" s="25"/>
      <c r="C183" s="45" t="str">
        <f t="shared" si="8"/>
        <v>Saudi-Arabien - Djidda</v>
      </c>
      <c r="D183" s="46"/>
      <c r="E183" s="46"/>
      <c r="F183" s="47"/>
      <c r="G183" s="48"/>
      <c r="H183" s="49">
        <f t="shared" si="9"/>
        <v>47</v>
      </c>
      <c r="I183" s="49">
        <f t="shared" si="10"/>
        <v>181</v>
      </c>
      <c r="J183" s="401"/>
      <c r="K183" s="308" t="str">
        <f t="shared" si="11"/>
        <v>Saudi-Arabien - Djidda</v>
      </c>
      <c r="L183" s="407" t="s">
        <v>218</v>
      </c>
      <c r="M183" s="408">
        <v>47</v>
      </c>
      <c r="N183" s="408">
        <v>181</v>
      </c>
      <c r="O183" s="307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27"/>
    </row>
    <row r="184" spans="2:34" ht="13.5" hidden="1" customHeight="1" x14ac:dyDescent="0.2">
      <c r="B184" s="25"/>
      <c r="C184" s="45" t="str">
        <f t="shared" si="8"/>
        <v>Saudi-Arabien - Riad</v>
      </c>
      <c r="D184" s="46"/>
      <c r="E184" s="46"/>
      <c r="F184" s="47"/>
      <c r="G184" s="48"/>
      <c r="H184" s="49">
        <f t="shared" si="9"/>
        <v>46</v>
      </c>
      <c r="I184" s="49">
        <f t="shared" si="10"/>
        <v>186</v>
      </c>
      <c r="J184" s="401"/>
      <c r="K184" s="308" t="str">
        <f t="shared" si="11"/>
        <v>Saudi-Arabien - Riad</v>
      </c>
      <c r="L184" s="407" t="s">
        <v>220</v>
      </c>
      <c r="M184" s="408">
        <v>46</v>
      </c>
      <c r="N184" s="408">
        <v>186</v>
      </c>
      <c r="O184" s="307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27"/>
    </row>
    <row r="185" spans="2:34" ht="13.5" hidden="1" customHeight="1" x14ac:dyDescent="0.2">
      <c r="B185" s="25"/>
      <c r="C185" s="45" t="str">
        <f t="shared" si="8"/>
        <v>Saudi-Arabien - im Übrigen</v>
      </c>
      <c r="D185" s="46"/>
      <c r="E185" s="46"/>
      <c r="F185" s="47"/>
      <c r="G185" s="48"/>
      <c r="H185" s="49">
        <f t="shared" si="9"/>
        <v>46</v>
      </c>
      <c r="I185" s="49">
        <f t="shared" si="10"/>
        <v>181</v>
      </c>
      <c r="J185" s="401"/>
      <c r="K185" s="308" t="str">
        <f t="shared" si="11"/>
        <v>Saudi-Arabien - im Übrigen</v>
      </c>
      <c r="L185" s="407" t="s">
        <v>219</v>
      </c>
      <c r="M185" s="408">
        <v>46</v>
      </c>
      <c r="N185" s="408">
        <v>181</v>
      </c>
      <c r="O185" s="307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27"/>
    </row>
    <row r="186" spans="2:34" ht="13.5" hidden="1" customHeight="1" x14ac:dyDescent="0.2">
      <c r="B186" s="25"/>
      <c r="C186" s="45" t="str">
        <f t="shared" si="8"/>
        <v>Schweden</v>
      </c>
      <c r="D186" s="46"/>
      <c r="E186" s="46"/>
      <c r="F186" s="47"/>
      <c r="G186" s="48"/>
      <c r="H186" s="49">
        <f t="shared" si="9"/>
        <v>55</v>
      </c>
      <c r="I186" s="49">
        <f t="shared" si="10"/>
        <v>140</v>
      </c>
      <c r="J186" s="401"/>
      <c r="K186" s="308" t="str">
        <f t="shared" si="11"/>
        <v>Schweden</v>
      </c>
      <c r="L186" s="407" t="s">
        <v>41</v>
      </c>
      <c r="M186" s="408">
        <v>55</v>
      </c>
      <c r="N186" s="408">
        <v>140</v>
      </c>
      <c r="O186" s="307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27"/>
    </row>
    <row r="187" spans="2:34" ht="13.5" hidden="1" customHeight="1" x14ac:dyDescent="0.2">
      <c r="B187" s="25"/>
      <c r="C187" s="45" t="str">
        <f t="shared" si="8"/>
        <v>Schweiz - Genf</v>
      </c>
      <c r="D187" s="46"/>
      <c r="E187" s="46"/>
      <c r="F187" s="47"/>
      <c r="G187" s="48"/>
      <c r="H187" s="49">
        <f t="shared" si="9"/>
        <v>55</v>
      </c>
      <c r="I187" s="49">
        <f t="shared" si="10"/>
        <v>186</v>
      </c>
      <c r="J187" s="401"/>
      <c r="K187" s="308" t="str">
        <f t="shared" si="11"/>
        <v>Schweiz - Genf</v>
      </c>
      <c r="L187" s="407" t="s">
        <v>64</v>
      </c>
      <c r="M187" s="408">
        <v>55</v>
      </c>
      <c r="N187" s="408">
        <v>186</v>
      </c>
      <c r="O187" s="307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27"/>
    </row>
    <row r="188" spans="2:34" ht="13.5" hidden="1" customHeight="1" x14ac:dyDescent="0.2">
      <c r="B188" s="25"/>
      <c r="C188" s="45" t="str">
        <f t="shared" si="8"/>
        <v>Schweiz - im Übrigen</v>
      </c>
      <c r="D188" s="46"/>
      <c r="E188" s="46"/>
      <c r="F188" s="47"/>
      <c r="G188" s="48"/>
      <c r="H188" s="49">
        <f t="shared" si="9"/>
        <v>53</v>
      </c>
      <c r="I188" s="49">
        <f t="shared" si="10"/>
        <v>180</v>
      </c>
      <c r="J188" s="401"/>
      <c r="K188" s="308" t="str">
        <f t="shared" si="11"/>
        <v>Schweiz - im Übrigen</v>
      </c>
      <c r="L188" s="407" t="s">
        <v>221</v>
      </c>
      <c r="M188" s="408">
        <v>53</v>
      </c>
      <c r="N188" s="408">
        <v>180</v>
      </c>
      <c r="O188" s="307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27"/>
    </row>
    <row r="189" spans="2:34" ht="13.5" hidden="1" customHeight="1" x14ac:dyDescent="0.2">
      <c r="B189" s="25"/>
      <c r="C189" s="45" t="str">
        <f t="shared" si="8"/>
        <v>Senegal</v>
      </c>
      <c r="D189" s="46"/>
      <c r="E189" s="46"/>
      <c r="F189" s="47"/>
      <c r="G189" s="48"/>
      <c r="H189" s="49">
        <f t="shared" si="9"/>
        <v>35</v>
      </c>
      <c r="I189" s="49">
        <f t="shared" si="10"/>
        <v>190</v>
      </c>
      <c r="J189" s="401"/>
      <c r="K189" s="308" t="str">
        <f t="shared" si="11"/>
        <v>Senegal</v>
      </c>
      <c r="L189" s="407" t="s">
        <v>222</v>
      </c>
      <c r="M189" s="408">
        <v>35</v>
      </c>
      <c r="N189" s="408">
        <v>190</v>
      </c>
      <c r="O189" s="307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27"/>
    </row>
    <row r="190" spans="2:34" ht="13.5" hidden="1" customHeight="1" x14ac:dyDescent="0.2">
      <c r="B190" s="25"/>
      <c r="C190" s="45" t="str">
        <f t="shared" si="8"/>
        <v>Serbien</v>
      </c>
      <c r="D190" s="46"/>
      <c r="E190" s="46"/>
      <c r="F190" s="47"/>
      <c r="G190" s="48"/>
      <c r="H190" s="49">
        <f t="shared" si="9"/>
        <v>22</v>
      </c>
      <c r="I190" s="49">
        <f t="shared" si="10"/>
        <v>97</v>
      </c>
      <c r="J190" s="401"/>
      <c r="K190" s="308" t="str">
        <f t="shared" si="11"/>
        <v>Serbien</v>
      </c>
      <c r="L190" s="407" t="s">
        <v>399</v>
      </c>
      <c r="M190" s="408">
        <v>22</v>
      </c>
      <c r="N190" s="408">
        <v>97</v>
      </c>
      <c r="O190" s="307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27"/>
    </row>
    <row r="191" spans="2:34" ht="13.5" hidden="1" customHeight="1" x14ac:dyDescent="0.2">
      <c r="B191" s="25"/>
      <c r="C191" s="45" t="str">
        <f t="shared" si="8"/>
        <v>Sierra Leone</v>
      </c>
      <c r="D191" s="46"/>
      <c r="E191" s="46"/>
      <c r="F191" s="47"/>
      <c r="G191" s="48"/>
      <c r="H191" s="49">
        <f t="shared" si="9"/>
        <v>47</v>
      </c>
      <c r="I191" s="49">
        <f t="shared" si="10"/>
        <v>145</v>
      </c>
      <c r="J191" s="401"/>
      <c r="K191" s="308" t="str">
        <f t="shared" si="11"/>
        <v>Sierra Leone</v>
      </c>
      <c r="L191" s="407" t="s">
        <v>415</v>
      </c>
      <c r="M191" s="408">
        <v>47</v>
      </c>
      <c r="N191" s="408">
        <v>145</v>
      </c>
      <c r="O191" s="307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27"/>
    </row>
    <row r="192" spans="2:34" ht="13.5" hidden="1" customHeight="1" x14ac:dyDescent="0.2">
      <c r="B192" s="25"/>
      <c r="C192" s="45" t="str">
        <f t="shared" si="8"/>
        <v>Simbabwe</v>
      </c>
      <c r="D192" s="46"/>
      <c r="E192" s="46"/>
      <c r="F192" s="47"/>
      <c r="G192" s="48"/>
      <c r="H192" s="49">
        <f t="shared" si="9"/>
        <v>37</v>
      </c>
      <c r="I192" s="49">
        <f t="shared" si="10"/>
        <v>140</v>
      </c>
      <c r="J192" s="401"/>
      <c r="K192" s="308" t="str">
        <f t="shared" si="11"/>
        <v>Simbabwe</v>
      </c>
      <c r="L192" s="407" t="s">
        <v>223</v>
      </c>
      <c r="M192" s="408">
        <v>37</v>
      </c>
      <c r="N192" s="408">
        <v>140</v>
      </c>
      <c r="O192" s="307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27"/>
    </row>
    <row r="193" spans="2:34" ht="13.5" hidden="1" customHeight="1" x14ac:dyDescent="0.2">
      <c r="B193" s="25"/>
      <c r="C193" s="45" t="str">
        <f t="shared" si="8"/>
        <v>Singapur</v>
      </c>
      <c r="D193" s="46"/>
      <c r="E193" s="46"/>
      <c r="F193" s="47"/>
      <c r="G193" s="48"/>
      <c r="H193" s="49">
        <f t="shared" si="9"/>
        <v>45</v>
      </c>
      <c r="I193" s="49">
        <f t="shared" si="10"/>
        <v>197</v>
      </c>
      <c r="J193" s="401"/>
      <c r="K193" s="308" t="str">
        <f t="shared" si="11"/>
        <v>Singapur</v>
      </c>
      <c r="L193" s="407" t="s">
        <v>224</v>
      </c>
      <c r="M193" s="408">
        <v>45</v>
      </c>
      <c r="N193" s="408">
        <v>197</v>
      </c>
      <c r="O193" s="307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27"/>
    </row>
    <row r="194" spans="2:34" ht="13.5" hidden="1" customHeight="1" x14ac:dyDescent="0.2">
      <c r="B194" s="25"/>
      <c r="C194" s="45" t="str">
        <f t="shared" si="8"/>
        <v>Slowakische Republik</v>
      </c>
      <c r="D194" s="46"/>
      <c r="E194" s="46"/>
      <c r="F194" s="47"/>
      <c r="G194" s="48"/>
      <c r="H194" s="49">
        <f t="shared" si="9"/>
        <v>27</v>
      </c>
      <c r="I194" s="49">
        <f t="shared" si="10"/>
        <v>121</v>
      </c>
      <c r="J194" s="401"/>
      <c r="K194" s="308" t="str">
        <f t="shared" si="11"/>
        <v>Slowakische Republik</v>
      </c>
      <c r="L194" s="407" t="s">
        <v>225</v>
      </c>
      <c r="M194" s="408">
        <v>27</v>
      </c>
      <c r="N194" s="408">
        <v>121</v>
      </c>
      <c r="O194" s="307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27"/>
    </row>
    <row r="195" spans="2:34" ht="13.5" hidden="1" customHeight="1" x14ac:dyDescent="0.2">
      <c r="B195" s="25"/>
      <c r="C195" s="45" t="str">
        <f t="shared" si="8"/>
        <v>Slowenien</v>
      </c>
      <c r="D195" s="46"/>
      <c r="E195" s="46"/>
      <c r="F195" s="47"/>
      <c r="G195" s="48"/>
      <c r="H195" s="49">
        <f t="shared" si="9"/>
        <v>31</v>
      </c>
      <c r="I195" s="49">
        <f t="shared" si="10"/>
        <v>126</v>
      </c>
      <c r="J195" s="401"/>
      <c r="K195" s="308" t="str">
        <f t="shared" si="11"/>
        <v>Slowenien</v>
      </c>
      <c r="L195" s="407" t="s">
        <v>42</v>
      </c>
      <c r="M195" s="408">
        <v>31</v>
      </c>
      <c r="N195" s="408">
        <v>126</v>
      </c>
      <c r="O195" s="307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27"/>
    </row>
    <row r="196" spans="2:34" ht="13.5" hidden="1" customHeight="1" x14ac:dyDescent="0.2">
      <c r="B196" s="25"/>
      <c r="C196" s="45" t="str">
        <f t="shared" si="8"/>
        <v>Spanien - Barcelona</v>
      </c>
      <c r="D196" s="46"/>
      <c r="E196" s="46"/>
      <c r="F196" s="87"/>
      <c r="G196" s="88"/>
      <c r="H196" s="49">
        <f t="shared" si="9"/>
        <v>28</v>
      </c>
      <c r="I196" s="49">
        <f t="shared" si="10"/>
        <v>144</v>
      </c>
      <c r="J196" s="401"/>
      <c r="K196" s="308" t="str">
        <f t="shared" si="11"/>
        <v>Spanien - Barcelona</v>
      </c>
      <c r="L196" s="407" t="s">
        <v>267</v>
      </c>
      <c r="M196" s="408">
        <v>28</v>
      </c>
      <c r="N196" s="408">
        <v>144</v>
      </c>
      <c r="O196" s="307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27"/>
    </row>
    <row r="197" spans="2:34" ht="13.5" hidden="1" customHeight="1" x14ac:dyDescent="0.2">
      <c r="B197" s="25"/>
      <c r="C197" s="45" t="str">
        <f t="shared" si="8"/>
        <v>Spanien - Kanarische Inseln</v>
      </c>
      <c r="D197" s="46"/>
      <c r="E197" s="46"/>
      <c r="F197" s="87"/>
      <c r="G197" s="88"/>
      <c r="H197" s="49">
        <f t="shared" si="9"/>
        <v>30</v>
      </c>
      <c r="I197" s="49">
        <f t="shared" si="10"/>
        <v>103</v>
      </c>
      <c r="J197" s="401"/>
      <c r="K197" s="308" t="str">
        <f t="shared" si="11"/>
        <v>Spanien - Kanarische Inseln</v>
      </c>
      <c r="L197" s="407" t="s">
        <v>226</v>
      </c>
      <c r="M197" s="408">
        <v>30</v>
      </c>
      <c r="N197" s="408">
        <v>103</v>
      </c>
      <c r="O197" s="307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27"/>
    </row>
    <row r="198" spans="2:34" ht="13.5" hidden="1" customHeight="1" x14ac:dyDescent="0.2">
      <c r="B198" s="25"/>
      <c r="C198" s="45" t="str">
        <f t="shared" si="8"/>
        <v>Spanien - Madrid</v>
      </c>
      <c r="D198" s="46"/>
      <c r="E198" s="46"/>
      <c r="F198" s="87"/>
      <c r="G198" s="88"/>
      <c r="H198" s="49">
        <f t="shared" si="9"/>
        <v>35</v>
      </c>
      <c r="I198" s="49">
        <f t="shared" si="10"/>
        <v>131</v>
      </c>
      <c r="J198" s="401"/>
      <c r="K198" s="308" t="str">
        <f t="shared" si="11"/>
        <v>Spanien - Madrid</v>
      </c>
      <c r="L198" s="407" t="s">
        <v>268</v>
      </c>
      <c r="M198" s="408">
        <v>35</v>
      </c>
      <c r="N198" s="408">
        <v>131</v>
      </c>
      <c r="O198" s="307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27"/>
    </row>
    <row r="199" spans="2:34" ht="13.5" hidden="1" customHeight="1" x14ac:dyDescent="0.2">
      <c r="B199" s="25"/>
      <c r="C199" s="45" t="str">
        <f t="shared" si="8"/>
        <v>Spanien - Palma de Mallorca</v>
      </c>
      <c r="D199" s="46"/>
      <c r="E199" s="46"/>
      <c r="F199" s="87"/>
      <c r="G199" s="88"/>
      <c r="H199" s="49">
        <f t="shared" si="9"/>
        <v>36</v>
      </c>
      <c r="I199" s="49">
        <f t="shared" si="10"/>
        <v>142</v>
      </c>
      <c r="J199" s="401"/>
      <c r="K199" s="308" t="str">
        <f t="shared" si="11"/>
        <v>Spanien - Palma de Mallorca</v>
      </c>
      <c r="L199" s="407" t="s">
        <v>227</v>
      </c>
      <c r="M199" s="408">
        <v>36</v>
      </c>
      <c r="N199" s="408">
        <v>142</v>
      </c>
      <c r="O199" s="307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27"/>
    </row>
    <row r="200" spans="2:34" ht="13.5" hidden="1" customHeight="1" x14ac:dyDescent="0.2">
      <c r="B200" s="25"/>
      <c r="C200" s="45" t="str">
        <f t="shared" si="8"/>
        <v>Spanien - im Übrigen</v>
      </c>
      <c r="D200" s="46"/>
      <c r="E200" s="46"/>
      <c r="F200" s="87"/>
      <c r="G200" s="88"/>
      <c r="H200" s="49">
        <f t="shared" si="9"/>
        <v>28</v>
      </c>
      <c r="I200" s="49">
        <f t="shared" si="10"/>
        <v>103</v>
      </c>
      <c r="J200" s="401"/>
      <c r="K200" s="308" t="str">
        <f t="shared" si="11"/>
        <v>Spanien - im Übrigen</v>
      </c>
      <c r="L200" s="407" t="s">
        <v>228</v>
      </c>
      <c r="M200" s="408">
        <v>28</v>
      </c>
      <c r="N200" s="408">
        <v>103</v>
      </c>
      <c r="O200" s="307"/>
      <c r="P200" s="178"/>
      <c r="Q200" s="178"/>
      <c r="R200" s="178"/>
      <c r="S200" s="178"/>
      <c r="T200" s="178"/>
      <c r="U200" s="178"/>
      <c r="V200" s="176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27"/>
    </row>
    <row r="201" spans="2:34" ht="13.5" hidden="1" customHeight="1" x14ac:dyDescent="0.2">
      <c r="B201" s="25"/>
      <c r="C201" s="45" t="str">
        <f t="shared" si="8"/>
        <v>Sri Lanka</v>
      </c>
      <c r="D201" s="46"/>
      <c r="E201" s="46"/>
      <c r="F201" s="87"/>
      <c r="G201" s="88"/>
      <c r="H201" s="49">
        <f t="shared" si="9"/>
        <v>30</v>
      </c>
      <c r="I201" s="49">
        <f t="shared" si="10"/>
        <v>112</v>
      </c>
      <c r="J201" s="401"/>
      <c r="K201" s="308" t="str">
        <f t="shared" si="11"/>
        <v>Sri Lanka</v>
      </c>
      <c r="L201" s="407" t="s">
        <v>229</v>
      </c>
      <c r="M201" s="408">
        <v>30</v>
      </c>
      <c r="N201" s="408">
        <v>112</v>
      </c>
      <c r="O201" s="307"/>
      <c r="P201" s="176"/>
      <c r="Q201" s="176"/>
      <c r="R201" s="176"/>
      <c r="S201" s="176"/>
      <c r="T201" s="176"/>
      <c r="U201" s="145"/>
      <c r="V201" s="145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27"/>
    </row>
    <row r="202" spans="2:34" ht="13.5" hidden="1" customHeight="1" x14ac:dyDescent="0.2">
      <c r="B202" s="25"/>
      <c r="C202" s="45" t="str">
        <f t="shared" si="8"/>
        <v>Sudan</v>
      </c>
      <c r="D202" s="46"/>
      <c r="E202" s="46"/>
      <c r="F202" s="47"/>
      <c r="G202" s="48"/>
      <c r="H202" s="49">
        <f t="shared" si="9"/>
        <v>27</v>
      </c>
      <c r="I202" s="49">
        <f t="shared" si="10"/>
        <v>195</v>
      </c>
      <c r="J202" s="401"/>
      <c r="K202" s="308" t="str">
        <f t="shared" si="11"/>
        <v>Sudan</v>
      </c>
      <c r="L202" s="407" t="s">
        <v>231</v>
      </c>
      <c r="M202" s="408">
        <v>27</v>
      </c>
      <c r="N202" s="408">
        <v>195</v>
      </c>
      <c r="O202" s="307"/>
      <c r="P202" s="176"/>
      <c r="Q202" s="176"/>
      <c r="R202" s="176"/>
      <c r="S202" s="176"/>
      <c r="T202" s="176"/>
      <c r="U202" s="145"/>
      <c r="V202" s="145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27"/>
    </row>
    <row r="203" spans="2:34" ht="13.5" hidden="1" customHeight="1" x14ac:dyDescent="0.2">
      <c r="B203" s="25"/>
      <c r="C203" s="45" t="str">
        <f t="shared" si="8"/>
        <v>Südafrika - Kapstadt</v>
      </c>
      <c r="D203" s="46"/>
      <c r="E203" s="46"/>
      <c r="F203" s="47"/>
      <c r="G203" s="48"/>
      <c r="H203" s="49">
        <f t="shared" si="9"/>
        <v>27</v>
      </c>
      <c r="I203" s="49">
        <f t="shared" si="10"/>
        <v>130</v>
      </c>
      <c r="J203" s="401"/>
      <c r="K203" s="308" t="str">
        <f t="shared" si="11"/>
        <v>Südafrika - Kapstadt</v>
      </c>
      <c r="L203" s="407" t="s">
        <v>230</v>
      </c>
      <c r="M203" s="408">
        <v>27</v>
      </c>
      <c r="N203" s="408">
        <v>130</v>
      </c>
      <c r="O203" s="307"/>
      <c r="P203" s="176"/>
      <c r="Q203" s="176"/>
      <c r="R203" s="176"/>
      <c r="S203" s="176"/>
      <c r="T203" s="176"/>
      <c r="U203" s="145"/>
      <c r="V203" s="145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27"/>
    </row>
    <row r="204" spans="2:34" ht="13.5" hidden="1" customHeight="1" x14ac:dyDescent="0.2">
      <c r="B204" s="25"/>
      <c r="C204" s="45" t="str">
        <f t="shared" si="8"/>
        <v>Südafrika - Johannesburg</v>
      </c>
      <c r="D204" s="46"/>
      <c r="E204" s="46"/>
      <c r="F204" s="47"/>
      <c r="G204" s="48"/>
      <c r="H204" s="49">
        <f t="shared" si="9"/>
        <v>30</v>
      </c>
      <c r="I204" s="49">
        <f t="shared" si="10"/>
        <v>129</v>
      </c>
      <c r="J204" s="401"/>
      <c r="K204" s="308" t="str">
        <f t="shared" si="11"/>
        <v>Südafrika - Johannesburg</v>
      </c>
      <c r="L204" s="407" t="s">
        <v>271</v>
      </c>
      <c r="M204" s="408">
        <v>30</v>
      </c>
      <c r="N204" s="408">
        <v>129</v>
      </c>
      <c r="O204" s="307"/>
      <c r="P204" s="176"/>
      <c r="Q204" s="176"/>
      <c r="R204" s="176"/>
      <c r="S204" s="176"/>
      <c r="T204" s="176"/>
      <c r="U204" s="145"/>
      <c r="V204" s="145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27"/>
    </row>
    <row r="205" spans="2:34" ht="13.5" hidden="1" customHeight="1" x14ac:dyDescent="0.2">
      <c r="B205" s="25"/>
      <c r="C205" s="45" t="str">
        <f t="shared" si="8"/>
        <v>Südafrika - im Übrigen</v>
      </c>
      <c r="D205" s="46"/>
      <c r="E205" s="46"/>
      <c r="F205" s="47"/>
      <c r="G205" s="48"/>
      <c r="H205" s="49">
        <f t="shared" si="9"/>
        <v>24</v>
      </c>
      <c r="I205" s="49">
        <f t="shared" si="10"/>
        <v>109</v>
      </c>
      <c r="J205" s="401"/>
      <c r="K205" s="308" t="str">
        <f t="shared" si="11"/>
        <v>Südafrika - im Übrigen</v>
      </c>
      <c r="L205" s="407" t="s">
        <v>400</v>
      </c>
      <c r="M205" s="408">
        <v>24</v>
      </c>
      <c r="N205" s="408">
        <v>109</v>
      </c>
      <c r="O205" s="307"/>
      <c r="P205" s="176"/>
      <c r="Q205" s="176"/>
      <c r="R205" s="176"/>
      <c r="S205" s="176"/>
      <c r="T205" s="176"/>
      <c r="U205" s="145"/>
      <c r="V205" s="145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27"/>
    </row>
    <row r="206" spans="2:34" ht="13.5" hidden="1" customHeight="1" x14ac:dyDescent="0.2">
      <c r="B206" s="25"/>
      <c r="C206" s="45" t="str">
        <f t="shared" si="8"/>
        <v>Südsudan</v>
      </c>
      <c r="D206" s="46"/>
      <c r="E206" s="46"/>
      <c r="F206" s="47"/>
      <c r="G206" s="48"/>
      <c r="H206" s="49">
        <f t="shared" si="9"/>
        <v>42</v>
      </c>
      <c r="I206" s="49">
        <f t="shared" si="10"/>
        <v>159</v>
      </c>
      <c r="J206" s="401"/>
      <c r="K206" s="308" t="str">
        <f t="shared" si="11"/>
        <v>Südsudan</v>
      </c>
      <c r="L206" s="407" t="s">
        <v>259</v>
      </c>
      <c r="M206" s="408">
        <v>42</v>
      </c>
      <c r="N206" s="408">
        <v>159</v>
      </c>
      <c r="O206" s="307"/>
      <c r="P206" s="176"/>
      <c r="Q206" s="176"/>
      <c r="R206" s="176"/>
      <c r="S206" s="176"/>
      <c r="T206" s="176"/>
      <c r="U206" s="145"/>
      <c r="V206" s="145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27"/>
    </row>
    <row r="207" spans="2:34" ht="13.5" hidden="1" customHeight="1" x14ac:dyDescent="0.2">
      <c r="B207" s="25"/>
      <c r="C207" s="45" t="str">
        <f t="shared" si="8"/>
        <v>Syrien</v>
      </c>
      <c r="D207" s="46"/>
      <c r="E207" s="46"/>
      <c r="F207" s="47"/>
      <c r="G207" s="48"/>
      <c r="H207" s="49">
        <f t="shared" si="9"/>
        <v>31</v>
      </c>
      <c r="I207" s="49">
        <f t="shared" si="10"/>
        <v>140</v>
      </c>
      <c r="J207" s="401"/>
      <c r="K207" s="308" t="str">
        <f t="shared" si="11"/>
        <v>Syrien</v>
      </c>
      <c r="L207" s="407" t="s">
        <v>232</v>
      </c>
      <c r="M207" s="408">
        <v>31</v>
      </c>
      <c r="N207" s="408">
        <v>140</v>
      </c>
      <c r="O207" s="307"/>
      <c r="P207" s="176"/>
      <c r="Q207" s="176"/>
      <c r="R207" s="176"/>
      <c r="S207" s="176"/>
      <c r="T207" s="176"/>
      <c r="U207" s="145"/>
      <c r="V207" s="145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27"/>
    </row>
    <row r="208" spans="2:34" ht="13.5" hidden="1" customHeight="1" x14ac:dyDescent="0.2">
      <c r="B208" s="25"/>
      <c r="C208" s="45" t="str">
        <f t="shared" si="8"/>
        <v>Tadschikistan</v>
      </c>
      <c r="D208" s="46"/>
      <c r="E208" s="46"/>
      <c r="F208" s="47"/>
      <c r="G208" s="48"/>
      <c r="H208" s="49">
        <f t="shared" si="9"/>
        <v>22</v>
      </c>
      <c r="I208" s="49">
        <f t="shared" si="10"/>
        <v>118</v>
      </c>
      <c r="J208" s="401"/>
      <c r="K208" s="308" t="str">
        <f t="shared" si="11"/>
        <v>Tadschikistan</v>
      </c>
      <c r="L208" s="407" t="s">
        <v>233</v>
      </c>
      <c r="M208" s="408">
        <v>22</v>
      </c>
      <c r="N208" s="408">
        <v>118</v>
      </c>
      <c r="O208" s="307"/>
      <c r="P208" s="176"/>
      <c r="Q208" s="176"/>
      <c r="R208" s="176"/>
      <c r="S208" s="176"/>
      <c r="T208" s="176"/>
      <c r="U208" s="145"/>
      <c r="V208" s="145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27"/>
    </row>
    <row r="209" spans="2:34" ht="13.5" hidden="1" customHeight="1" x14ac:dyDescent="0.2">
      <c r="B209" s="25"/>
      <c r="C209" s="45" t="str">
        <f t="shared" si="8"/>
        <v>Taiwan</v>
      </c>
      <c r="D209" s="46"/>
      <c r="E209" s="46"/>
      <c r="F209" s="47"/>
      <c r="G209" s="48"/>
      <c r="H209" s="49">
        <f t="shared" si="9"/>
        <v>38</v>
      </c>
      <c r="I209" s="49">
        <f t="shared" si="10"/>
        <v>143</v>
      </c>
      <c r="J209" s="401"/>
      <c r="K209" s="308" t="str">
        <f t="shared" si="11"/>
        <v>Taiwan</v>
      </c>
      <c r="L209" s="407" t="s">
        <v>234</v>
      </c>
      <c r="M209" s="408">
        <v>38</v>
      </c>
      <c r="N209" s="408">
        <v>143</v>
      </c>
      <c r="O209" s="307"/>
      <c r="P209" s="176"/>
      <c r="Q209" s="176"/>
      <c r="R209" s="176"/>
      <c r="S209" s="176"/>
      <c r="T209" s="176"/>
      <c r="U209" s="145"/>
      <c r="V209" s="145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27"/>
    </row>
    <row r="210" spans="2:34" ht="13.5" hidden="1" customHeight="1" x14ac:dyDescent="0.2">
      <c r="B210" s="25"/>
      <c r="C210" s="45" t="str">
        <f t="shared" si="8"/>
        <v>Tansania</v>
      </c>
      <c r="D210" s="46"/>
      <c r="E210" s="46"/>
      <c r="F210" s="47"/>
      <c r="G210" s="48"/>
      <c r="H210" s="49">
        <f t="shared" si="9"/>
        <v>36</v>
      </c>
      <c r="I210" s="49">
        <f t="shared" si="10"/>
        <v>97</v>
      </c>
      <c r="J210" s="401"/>
      <c r="K210" s="308" t="str">
        <f t="shared" si="11"/>
        <v>Tansania</v>
      </c>
      <c r="L210" s="407" t="s">
        <v>235</v>
      </c>
      <c r="M210" s="408">
        <v>36</v>
      </c>
      <c r="N210" s="408">
        <v>97</v>
      </c>
      <c r="O210" s="307"/>
      <c r="P210" s="176"/>
      <c r="Q210" s="176"/>
      <c r="R210" s="176"/>
      <c r="S210" s="176"/>
      <c r="T210" s="176"/>
      <c r="U210" s="145"/>
      <c r="V210" s="145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27"/>
    </row>
    <row r="211" spans="2:34" ht="13.5" hidden="1" customHeight="1" x14ac:dyDescent="0.2">
      <c r="B211" s="25"/>
      <c r="C211" s="45" t="str">
        <f t="shared" si="8"/>
        <v>Thailand</v>
      </c>
      <c r="D211" s="46"/>
      <c r="E211" s="46"/>
      <c r="F211" s="47"/>
      <c r="G211" s="48"/>
      <c r="H211" s="49">
        <f t="shared" si="9"/>
        <v>31</v>
      </c>
      <c r="I211" s="49">
        <f t="shared" si="10"/>
        <v>110</v>
      </c>
      <c r="J211" s="401"/>
      <c r="K211" s="308" t="str">
        <f t="shared" si="11"/>
        <v>Thailand</v>
      </c>
      <c r="L211" s="407" t="s">
        <v>236</v>
      </c>
      <c r="M211" s="408">
        <v>31</v>
      </c>
      <c r="N211" s="408">
        <v>110</v>
      </c>
      <c r="O211" s="307"/>
      <c r="P211" s="176"/>
      <c r="Q211" s="176"/>
      <c r="R211" s="176"/>
      <c r="S211" s="176"/>
      <c r="T211" s="176"/>
      <c r="U211" s="145"/>
      <c r="V211" s="145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27"/>
    </row>
    <row r="212" spans="2:34" ht="13.5" hidden="1" customHeight="1" x14ac:dyDescent="0.2">
      <c r="B212" s="25"/>
      <c r="C212" s="45" t="str">
        <f t="shared" si="8"/>
        <v>Togo</v>
      </c>
      <c r="D212" s="46"/>
      <c r="E212" s="46"/>
      <c r="F212" s="47"/>
      <c r="G212" s="48"/>
      <c r="H212" s="49">
        <f t="shared" si="9"/>
        <v>32</v>
      </c>
      <c r="I212" s="49">
        <f t="shared" si="10"/>
        <v>118</v>
      </c>
      <c r="J212" s="401"/>
      <c r="K212" s="308" t="str">
        <f t="shared" si="11"/>
        <v>Togo</v>
      </c>
      <c r="L212" s="407" t="s">
        <v>237</v>
      </c>
      <c r="M212" s="408">
        <v>32</v>
      </c>
      <c r="N212" s="408">
        <v>118</v>
      </c>
      <c r="O212" s="307"/>
      <c r="P212" s="176"/>
      <c r="Q212" s="176"/>
      <c r="R212" s="176"/>
      <c r="S212" s="176"/>
      <c r="T212" s="176"/>
      <c r="U212" s="145"/>
      <c r="V212" s="145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27"/>
    </row>
    <row r="213" spans="2:34" ht="13.5" hidden="1" customHeight="1" x14ac:dyDescent="0.2">
      <c r="B213" s="25"/>
      <c r="C213" s="45" t="str">
        <f t="shared" ref="C213:C245" si="12">K213</f>
        <v>Tonga</v>
      </c>
      <c r="D213" s="46"/>
      <c r="E213" s="46"/>
      <c r="F213" s="47"/>
      <c r="G213" s="48"/>
      <c r="H213" s="49">
        <f t="shared" si="9"/>
        <v>32</v>
      </c>
      <c r="I213" s="49">
        <f t="shared" si="10"/>
        <v>94</v>
      </c>
      <c r="J213" s="401"/>
      <c r="K213" s="308" t="str">
        <f t="shared" si="11"/>
        <v>Tonga</v>
      </c>
      <c r="L213" s="407" t="s">
        <v>238</v>
      </c>
      <c r="M213" s="408">
        <v>32</v>
      </c>
      <c r="N213" s="408">
        <v>94</v>
      </c>
      <c r="O213" s="307"/>
      <c r="P213" s="176"/>
      <c r="Q213" s="176"/>
      <c r="R213" s="176"/>
      <c r="S213" s="176"/>
      <c r="T213" s="176"/>
      <c r="U213" s="145"/>
      <c r="V213" s="145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27"/>
    </row>
    <row r="214" spans="2:34" ht="13.5" hidden="1" customHeight="1" x14ac:dyDescent="0.2">
      <c r="B214" s="25"/>
      <c r="C214" s="45" t="str">
        <f t="shared" si="12"/>
        <v>Trinidad und Tobago****)</v>
      </c>
      <c r="D214" s="46"/>
      <c r="E214" s="46"/>
      <c r="F214" s="47"/>
      <c r="G214" s="48"/>
      <c r="H214" s="49">
        <f t="shared" ref="H214:H245" si="13">IF($C$260=3,M214,IF($C$260=6,M214,$H$250))</f>
        <v>55</v>
      </c>
      <c r="I214" s="49">
        <f t="shared" ref="I214:I245" si="14">IF($C$260=3,N214,IF($C$260=6,N214,$H$251))</f>
        <v>203</v>
      </c>
      <c r="J214" s="401"/>
      <c r="K214" s="308" t="str">
        <f t="shared" ref="K214:K245" si="15">IF($C$260=3,L214,IF($C$260=6,L214,$H$254))</f>
        <v>Trinidad und Tobago****)</v>
      </c>
      <c r="L214" s="407" t="s">
        <v>416</v>
      </c>
      <c r="M214" s="408">
        <v>55</v>
      </c>
      <c r="N214" s="408">
        <v>203</v>
      </c>
      <c r="O214" s="307"/>
      <c r="P214" s="176"/>
      <c r="Q214" s="176"/>
      <c r="R214" s="176"/>
      <c r="S214" s="176"/>
      <c r="T214" s="176"/>
      <c r="U214" s="145"/>
      <c r="V214" s="145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27"/>
    </row>
    <row r="215" spans="2:34" ht="13.5" hidden="1" customHeight="1" x14ac:dyDescent="0.2">
      <c r="B215" s="25"/>
      <c r="C215" s="45" t="str">
        <f t="shared" si="12"/>
        <v>Tschad</v>
      </c>
      <c r="D215" s="46"/>
      <c r="E215" s="46"/>
      <c r="F215" s="47"/>
      <c r="G215" s="48"/>
      <c r="H215" s="49">
        <f t="shared" si="13"/>
        <v>35</v>
      </c>
      <c r="I215" s="49">
        <f t="shared" si="14"/>
        <v>155</v>
      </c>
      <c r="J215" s="401"/>
      <c r="K215" s="308" t="str">
        <f t="shared" si="15"/>
        <v>Tschad</v>
      </c>
      <c r="L215" s="407" t="s">
        <v>239</v>
      </c>
      <c r="M215" s="408">
        <v>35</v>
      </c>
      <c r="N215" s="408">
        <v>155</v>
      </c>
      <c r="O215" s="307"/>
      <c r="P215" s="176"/>
      <c r="Q215" s="176"/>
      <c r="R215" s="176"/>
      <c r="S215" s="176"/>
      <c r="T215" s="176"/>
      <c r="U215" s="145"/>
      <c r="V215" s="145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27"/>
    </row>
    <row r="216" spans="2:34" ht="13.5" hidden="1" customHeight="1" x14ac:dyDescent="0.2">
      <c r="B216" s="25"/>
      <c r="C216" s="45" t="str">
        <f t="shared" si="12"/>
        <v>Tschechische Republik</v>
      </c>
      <c r="D216" s="46"/>
      <c r="E216" s="46"/>
      <c r="F216" s="47"/>
      <c r="G216" s="48"/>
      <c r="H216" s="49">
        <f t="shared" si="13"/>
        <v>26</v>
      </c>
      <c r="I216" s="49">
        <f t="shared" si="14"/>
        <v>77</v>
      </c>
      <c r="J216" s="401"/>
      <c r="K216" s="308" t="str">
        <f t="shared" si="15"/>
        <v>Tschechische Republik</v>
      </c>
      <c r="L216" s="407" t="s">
        <v>240</v>
      </c>
      <c r="M216" s="408">
        <v>26</v>
      </c>
      <c r="N216" s="408">
        <v>77</v>
      </c>
      <c r="O216" s="307"/>
      <c r="P216" s="176"/>
      <c r="Q216" s="176"/>
      <c r="R216" s="176"/>
      <c r="S216" s="176"/>
      <c r="T216" s="176"/>
      <c r="U216" s="145"/>
      <c r="V216" s="145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27"/>
    </row>
    <row r="217" spans="2:34" ht="13.5" hidden="1" customHeight="1" x14ac:dyDescent="0.2">
      <c r="B217" s="25"/>
      <c r="C217" s="45" t="str">
        <f t="shared" si="12"/>
        <v>Türkei - Istanbul</v>
      </c>
      <c r="D217" s="46"/>
      <c r="E217" s="46"/>
      <c r="F217" s="47"/>
      <c r="G217" s="48"/>
      <c r="H217" s="49">
        <f t="shared" si="13"/>
        <v>21</v>
      </c>
      <c r="I217" s="49">
        <f t="shared" si="14"/>
        <v>120</v>
      </c>
      <c r="J217" s="401"/>
      <c r="K217" s="308" t="str">
        <f t="shared" si="15"/>
        <v>Türkei - Istanbul</v>
      </c>
      <c r="L217" s="407" t="s">
        <v>269</v>
      </c>
      <c r="M217" s="408">
        <v>21</v>
      </c>
      <c r="N217" s="408">
        <v>120</v>
      </c>
      <c r="O217" s="307"/>
      <c r="P217" s="176"/>
      <c r="Q217" s="176"/>
      <c r="R217" s="176"/>
      <c r="S217" s="176"/>
      <c r="T217" s="176"/>
      <c r="U217" s="145"/>
      <c r="V217" s="145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27"/>
    </row>
    <row r="218" spans="2:34" ht="13.5" hidden="1" customHeight="1" x14ac:dyDescent="0.2">
      <c r="B218" s="25"/>
      <c r="C218" s="45" t="str">
        <f t="shared" si="12"/>
        <v>Türkei - Izmir</v>
      </c>
      <c r="D218" s="46"/>
      <c r="E218" s="46"/>
      <c r="F218" s="47"/>
      <c r="G218" s="48"/>
      <c r="H218" s="49">
        <f t="shared" si="13"/>
        <v>24</v>
      </c>
      <c r="I218" s="49">
        <f t="shared" si="14"/>
        <v>55</v>
      </c>
      <c r="J218" s="401"/>
      <c r="K218" s="308" t="str">
        <f t="shared" si="15"/>
        <v>Türkei - Izmir</v>
      </c>
      <c r="L218" s="407" t="s">
        <v>417</v>
      </c>
      <c r="M218" s="408">
        <v>24</v>
      </c>
      <c r="N218" s="408">
        <v>55</v>
      </c>
      <c r="O218" s="307"/>
      <c r="P218" s="176"/>
      <c r="Q218" s="176"/>
      <c r="R218" s="176"/>
      <c r="S218" s="176"/>
      <c r="T218" s="176"/>
      <c r="U218" s="145"/>
      <c r="V218" s="145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27"/>
    </row>
    <row r="219" spans="2:34" ht="13.5" hidden="1" customHeight="1" x14ac:dyDescent="0.2">
      <c r="B219" s="25"/>
      <c r="C219" s="45" t="str">
        <f t="shared" si="12"/>
        <v>Türkei - im Übrigen</v>
      </c>
      <c r="D219" s="46"/>
      <c r="E219" s="46"/>
      <c r="F219" s="47"/>
      <c r="G219" s="48"/>
      <c r="H219" s="49">
        <f t="shared" si="13"/>
        <v>14</v>
      </c>
      <c r="I219" s="49">
        <f t="shared" si="14"/>
        <v>95</v>
      </c>
      <c r="J219" s="401"/>
      <c r="K219" s="308" t="str">
        <f t="shared" si="15"/>
        <v>Türkei - im Übrigen</v>
      </c>
      <c r="L219" s="407" t="s">
        <v>242</v>
      </c>
      <c r="M219" s="408">
        <v>14</v>
      </c>
      <c r="N219" s="408">
        <v>95</v>
      </c>
      <c r="O219" s="307"/>
      <c r="P219" s="176"/>
      <c r="Q219" s="176"/>
      <c r="R219" s="176"/>
      <c r="S219" s="176"/>
      <c r="T219" s="176"/>
      <c r="U219" s="145"/>
      <c r="V219" s="145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27"/>
    </row>
    <row r="220" spans="2:34" ht="13.5" hidden="1" customHeight="1" x14ac:dyDescent="0.2">
      <c r="B220" s="25"/>
      <c r="C220" s="45" t="str">
        <f t="shared" si="12"/>
        <v>Tunesien</v>
      </c>
      <c r="D220" s="46"/>
      <c r="E220" s="46"/>
      <c r="F220" s="47"/>
      <c r="G220" s="48"/>
      <c r="H220" s="49">
        <f t="shared" si="13"/>
        <v>33</v>
      </c>
      <c r="I220" s="49">
        <f t="shared" si="14"/>
        <v>144</v>
      </c>
      <c r="J220" s="401"/>
      <c r="K220" s="308" t="str">
        <f t="shared" si="15"/>
        <v>Tunesien</v>
      </c>
      <c r="L220" s="407" t="s">
        <v>241</v>
      </c>
      <c r="M220" s="408">
        <v>33</v>
      </c>
      <c r="N220" s="408">
        <v>144</v>
      </c>
      <c r="O220" s="307"/>
      <c r="P220" s="176"/>
      <c r="Q220" s="176"/>
      <c r="R220" s="176"/>
      <c r="S220" s="176"/>
      <c r="T220" s="176"/>
      <c r="U220" s="145"/>
      <c r="V220" s="145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27"/>
    </row>
    <row r="221" spans="2:34" ht="13.5" hidden="1" customHeight="1" x14ac:dyDescent="0.2">
      <c r="B221" s="25"/>
      <c r="C221" s="45" t="str">
        <f t="shared" si="12"/>
        <v>Turkmenistan</v>
      </c>
      <c r="D221" s="46"/>
      <c r="E221" s="46"/>
      <c r="F221" s="47"/>
      <c r="G221" s="48"/>
      <c r="H221" s="49">
        <f t="shared" si="13"/>
        <v>27</v>
      </c>
      <c r="I221" s="49">
        <f t="shared" si="14"/>
        <v>108</v>
      </c>
      <c r="J221" s="401"/>
      <c r="K221" s="308" t="str">
        <f t="shared" si="15"/>
        <v>Turkmenistan</v>
      </c>
      <c r="L221" s="405" t="s">
        <v>243</v>
      </c>
      <c r="M221" s="408">
        <v>27</v>
      </c>
      <c r="N221" s="408">
        <v>108</v>
      </c>
      <c r="O221" s="307"/>
      <c r="P221" s="176"/>
      <c r="Q221" s="176"/>
      <c r="R221" s="176"/>
      <c r="S221" s="176"/>
      <c r="T221" s="176"/>
      <c r="U221" s="145"/>
      <c r="V221" s="145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179"/>
      <c r="AG221" s="179"/>
      <c r="AH221" s="27"/>
    </row>
    <row r="222" spans="2:34" ht="13.5" hidden="1" customHeight="1" x14ac:dyDescent="0.2">
      <c r="B222" s="25"/>
      <c r="C222" s="45" t="str">
        <f t="shared" si="12"/>
        <v>Uganda</v>
      </c>
      <c r="D222" s="46"/>
      <c r="E222" s="46"/>
      <c r="F222" s="47"/>
      <c r="G222" s="48"/>
      <c r="H222" s="49">
        <f t="shared" si="13"/>
        <v>34</v>
      </c>
      <c r="I222" s="49">
        <f t="shared" si="14"/>
        <v>143</v>
      </c>
      <c r="J222" s="401"/>
      <c r="K222" s="308" t="str">
        <f t="shared" si="15"/>
        <v>Uganda</v>
      </c>
      <c r="L222" s="407" t="s">
        <v>244</v>
      </c>
      <c r="M222" s="408">
        <v>34</v>
      </c>
      <c r="N222" s="408">
        <v>143</v>
      </c>
      <c r="O222" s="307"/>
      <c r="P222" s="176"/>
      <c r="Q222" s="176"/>
      <c r="R222" s="176"/>
      <c r="S222" s="176"/>
      <c r="T222" s="176"/>
      <c r="U222" s="145"/>
      <c r="V222" s="145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27"/>
    </row>
    <row r="223" spans="2:34" ht="13.5" hidden="1" customHeight="1" x14ac:dyDescent="0.2">
      <c r="B223" s="25"/>
      <c r="C223" s="45" t="str">
        <f t="shared" si="12"/>
        <v>Ukraine</v>
      </c>
      <c r="D223" s="46"/>
      <c r="E223" s="46"/>
      <c r="F223" s="47"/>
      <c r="G223" s="48"/>
      <c r="H223" s="49">
        <f t="shared" si="13"/>
        <v>21</v>
      </c>
      <c r="I223" s="49">
        <f t="shared" si="14"/>
        <v>98</v>
      </c>
      <c r="J223" s="401"/>
      <c r="K223" s="308" t="str">
        <f t="shared" si="15"/>
        <v>Ukraine</v>
      </c>
      <c r="L223" s="407" t="s">
        <v>58</v>
      </c>
      <c r="M223" s="408">
        <v>21</v>
      </c>
      <c r="N223" s="408">
        <v>98</v>
      </c>
      <c r="O223" s="307"/>
      <c r="P223" s="176"/>
      <c r="Q223" s="176"/>
      <c r="R223" s="176"/>
      <c r="S223" s="176"/>
      <c r="T223" s="176"/>
      <c r="U223" s="145"/>
      <c r="V223" s="145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27"/>
    </row>
    <row r="224" spans="2:34" ht="13.5" hidden="1" customHeight="1" x14ac:dyDescent="0.2">
      <c r="B224" s="25"/>
      <c r="C224" s="45" t="str">
        <f t="shared" si="12"/>
        <v>Ungarn</v>
      </c>
      <c r="D224" s="46"/>
      <c r="E224" s="46"/>
      <c r="F224" s="47"/>
      <c r="G224" s="48"/>
      <c r="H224" s="49">
        <f t="shared" si="13"/>
        <v>26</v>
      </c>
      <c r="I224" s="49">
        <f t="shared" si="14"/>
        <v>85</v>
      </c>
      <c r="J224" s="401"/>
      <c r="K224" s="308" t="str">
        <f t="shared" si="15"/>
        <v>Ungarn</v>
      </c>
      <c r="L224" s="407" t="s">
        <v>57</v>
      </c>
      <c r="M224" s="408">
        <v>26</v>
      </c>
      <c r="N224" s="408">
        <v>85</v>
      </c>
      <c r="O224" s="307"/>
      <c r="P224" s="176"/>
      <c r="Q224" s="176"/>
      <c r="R224" s="176"/>
      <c r="S224" s="176"/>
      <c r="T224" s="176"/>
      <c r="U224" s="145"/>
      <c r="V224" s="145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27"/>
    </row>
    <row r="225" spans="2:34" ht="13.5" hidden="1" customHeight="1" x14ac:dyDescent="0.2">
      <c r="B225" s="25"/>
      <c r="C225" s="45" t="str">
        <f t="shared" si="12"/>
        <v>Uruguay</v>
      </c>
      <c r="D225" s="46"/>
      <c r="E225" s="46"/>
      <c r="F225" s="47"/>
      <c r="G225" s="48"/>
      <c r="H225" s="49">
        <f t="shared" si="13"/>
        <v>40</v>
      </c>
      <c r="I225" s="49">
        <f t="shared" si="14"/>
        <v>90</v>
      </c>
      <c r="J225" s="401"/>
      <c r="K225" s="308" t="str">
        <f t="shared" si="15"/>
        <v>Uruguay</v>
      </c>
      <c r="L225" s="407" t="s">
        <v>245</v>
      </c>
      <c r="M225" s="408">
        <v>40</v>
      </c>
      <c r="N225" s="408">
        <v>90</v>
      </c>
      <c r="O225" s="307"/>
      <c r="P225" s="176"/>
      <c r="Q225" s="176"/>
      <c r="R225" s="176"/>
      <c r="S225" s="176"/>
      <c r="T225" s="176"/>
      <c r="U225" s="145"/>
      <c r="V225" s="145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27"/>
    </row>
    <row r="226" spans="2:34" ht="13.5" hidden="1" customHeight="1" x14ac:dyDescent="0.2">
      <c r="B226" s="25"/>
      <c r="C226" s="45" t="str">
        <f t="shared" si="12"/>
        <v>Usbekistan</v>
      </c>
      <c r="D226" s="46"/>
      <c r="E226" s="46"/>
      <c r="F226" s="47"/>
      <c r="G226" s="48"/>
      <c r="H226" s="49">
        <f t="shared" si="13"/>
        <v>28</v>
      </c>
      <c r="I226" s="49">
        <f t="shared" si="14"/>
        <v>104</v>
      </c>
      <c r="J226" s="401"/>
      <c r="K226" s="308" t="str">
        <f t="shared" si="15"/>
        <v>Usbekistan</v>
      </c>
      <c r="L226" s="407" t="s">
        <v>246</v>
      </c>
      <c r="M226" s="408">
        <v>28</v>
      </c>
      <c r="N226" s="408">
        <v>104</v>
      </c>
      <c r="O226" s="307"/>
      <c r="P226" s="176"/>
      <c r="Q226" s="176"/>
      <c r="R226" s="176"/>
      <c r="S226" s="176"/>
      <c r="T226" s="176"/>
      <c r="U226" s="145"/>
      <c r="V226" s="145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27"/>
    </row>
    <row r="227" spans="2:34" ht="13.5" hidden="1" customHeight="1" x14ac:dyDescent="0.2">
      <c r="B227" s="25"/>
      <c r="C227" s="45" t="str">
        <f t="shared" si="12"/>
        <v>Vatikanstaat</v>
      </c>
      <c r="D227" s="46"/>
      <c r="E227" s="46"/>
      <c r="F227" s="87"/>
      <c r="G227" s="88"/>
      <c r="H227" s="49">
        <f t="shared" si="13"/>
        <v>43</v>
      </c>
      <c r="I227" s="49">
        <f t="shared" si="14"/>
        <v>160</v>
      </c>
      <c r="J227" s="401"/>
      <c r="K227" s="308" t="str">
        <f t="shared" si="15"/>
        <v>Vatikanstaat</v>
      </c>
      <c r="L227" s="407" t="s">
        <v>247</v>
      </c>
      <c r="M227" s="408">
        <v>43</v>
      </c>
      <c r="N227" s="408">
        <v>160</v>
      </c>
      <c r="O227" s="307"/>
      <c r="P227" s="176"/>
      <c r="Q227" s="176"/>
      <c r="R227" s="176"/>
      <c r="S227" s="176"/>
      <c r="T227" s="176"/>
      <c r="U227" s="145"/>
      <c r="V227" s="145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27"/>
    </row>
    <row r="228" spans="2:34" ht="13.5" hidden="1" customHeight="1" x14ac:dyDescent="0.2">
      <c r="B228" s="25"/>
      <c r="C228" s="45" t="str">
        <f t="shared" si="12"/>
        <v>Venezuela</v>
      </c>
      <c r="D228" s="46"/>
      <c r="E228" s="46"/>
      <c r="F228" s="87"/>
      <c r="G228" s="88"/>
      <c r="H228" s="49">
        <f t="shared" si="13"/>
        <v>37</v>
      </c>
      <c r="I228" s="49">
        <f t="shared" si="14"/>
        <v>127</v>
      </c>
      <c r="J228" s="401"/>
      <c r="K228" s="308" t="str">
        <f t="shared" si="15"/>
        <v>Venezuela</v>
      </c>
      <c r="L228" s="407" t="s">
        <v>248</v>
      </c>
      <c r="M228" s="408">
        <v>37</v>
      </c>
      <c r="N228" s="408">
        <v>127</v>
      </c>
      <c r="O228" s="307"/>
      <c r="P228" s="176"/>
      <c r="Q228" s="176"/>
      <c r="R228" s="176"/>
      <c r="S228" s="176"/>
      <c r="T228" s="176"/>
      <c r="U228" s="145"/>
      <c r="V228" s="145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27"/>
    </row>
    <row r="229" spans="2:34" ht="13.5" hidden="1" customHeight="1" x14ac:dyDescent="0.2">
      <c r="B229" s="25"/>
      <c r="C229" s="45" t="str">
        <f t="shared" si="12"/>
        <v>Vereinigte Arabische Emirate</v>
      </c>
      <c r="D229" s="46"/>
      <c r="E229" s="46"/>
      <c r="F229" s="47"/>
      <c r="G229" s="48"/>
      <c r="H229" s="49">
        <f t="shared" si="13"/>
        <v>54</v>
      </c>
      <c r="I229" s="49">
        <f t="shared" si="14"/>
        <v>156</v>
      </c>
      <c r="J229" s="401"/>
      <c r="K229" s="308" t="str">
        <f t="shared" si="15"/>
        <v>Vereinigte Arabische Emirate</v>
      </c>
      <c r="L229" s="407" t="s">
        <v>401</v>
      </c>
      <c r="M229" s="408">
        <v>54</v>
      </c>
      <c r="N229" s="408">
        <v>156</v>
      </c>
      <c r="O229" s="307"/>
      <c r="P229" s="176"/>
      <c r="Q229" s="176"/>
      <c r="R229" s="176"/>
      <c r="S229" s="176"/>
      <c r="T229" s="176"/>
      <c r="U229" s="145"/>
      <c r="V229" s="145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27"/>
    </row>
    <row r="230" spans="2:34" ht="13.5" hidden="1" customHeight="1" x14ac:dyDescent="0.2">
      <c r="B230" s="25"/>
      <c r="C230" s="45" t="str">
        <f t="shared" si="12"/>
        <v>Vereinigte Staaten von Amerika - Atlanta</v>
      </c>
      <c r="D230" s="46"/>
      <c r="E230" s="46"/>
      <c r="F230" s="47"/>
      <c r="G230" s="48"/>
      <c r="H230" s="49">
        <f t="shared" si="13"/>
        <v>64</v>
      </c>
      <c r="I230" s="49">
        <f t="shared" si="14"/>
        <v>182</v>
      </c>
      <c r="J230" s="401"/>
      <c r="K230" s="308" t="str">
        <f t="shared" si="15"/>
        <v>Vereinigte Staaten von Amerika - Atlanta</v>
      </c>
      <c r="L230" s="405" t="s">
        <v>402</v>
      </c>
      <c r="M230" s="408">
        <v>64</v>
      </c>
      <c r="N230" s="408">
        <v>182</v>
      </c>
      <c r="O230" s="307"/>
      <c r="P230" s="176"/>
      <c r="Q230" s="176"/>
      <c r="R230" s="176"/>
      <c r="S230" s="176"/>
      <c r="T230" s="176"/>
      <c r="U230" s="145"/>
      <c r="V230" s="145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27"/>
    </row>
    <row r="231" spans="2:34" ht="13.5" hidden="1" customHeight="1" x14ac:dyDescent="0.2">
      <c r="B231" s="25"/>
      <c r="C231" s="45" t="str">
        <f t="shared" si="12"/>
        <v>Vereinigte Staaten von Amerika - Boston</v>
      </c>
      <c r="D231" s="46"/>
      <c r="E231" s="46"/>
      <c r="F231" s="47"/>
      <c r="G231" s="48"/>
      <c r="H231" s="49">
        <f t="shared" si="13"/>
        <v>52</v>
      </c>
      <c r="I231" s="49">
        <f t="shared" si="14"/>
        <v>333</v>
      </c>
      <c r="J231" s="401"/>
      <c r="K231" s="308" t="str">
        <f t="shared" si="15"/>
        <v>Vereinigte Staaten von Amerika - Boston</v>
      </c>
      <c r="L231" s="407" t="s">
        <v>403</v>
      </c>
      <c r="M231" s="408">
        <v>52</v>
      </c>
      <c r="N231" s="408">
        <v>333</v>
      </c>
      <c r="O231" s="307"/>
      <c r="P231" s="176"/>
      <c r="Q231" s="176"/>
      <c r="R231" s="176"/>
      <c r="S231" s="176"/>
      <c r="T231" s="176"/>
      <c r="U231" s="145"/>
      <c r="V231" s="145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27"/>
    </row>
    <row r="232" spans="2:34" ht="13.5" hidden="1" customHeight="1" x14ac:dyDescent="0.2">
      <c r="B232" s="25"/>
      <c r="C232" s="45" t="str">
        <f t="shared" si="12"/>
        <v>Vereinigte Staaten von Amerika - Chicago</v>
      </c>
      <c r="D232" s="46"/>
      <c r="E232" s="46"/>
      <c r="F232" s="47"/>
      <c r="G232" s="48"/>
      <c r="H232" s="49">
        <f t="shared" si="13"/>
        <v>54</v>
      </c>
      <c r="I232" s="49">
        <f t="shared" si="14"/>
        <v>233</v>
      </c>
      <c r="J232" s="401"/>
      <c r="K232" s="308" t="str">
        <f t="shared" si="15"/>
        <v>Vereinigte Staaten von Amerika - Chicago</v>
      </c>
      <c r="L232" s="407" t="s">
        <v>404</v>
      </c>
      <c r="M232" s="408">
        <v>54</v>
      </c>
      <c r="N232" s="408">
        <v>233</v>
      </c>
      <c r="O232" s="307"/>
      <c r="P232" s="176"/>
      <c r="Q232" s="176"/>
      <c r="R232" s="176"/>
      <c r="S232" s="176"/>
      <c r="T232" s="176"/>
      <c r="U232" s="145"/>
      <c r="V232" s="145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27"/>
    </row>
    <row r="233" spans="2:34" ht="13.5" hidden="1" customHeight="1" x14ac:dyDescent="0.2">
      <c r="B233" s="25"/>
      <c r="C233" s="45" t="str">
        <f t="shared" si="12"/>
        <v>Vereinigte Staaten von Amerika - Houston</v>
      </c>
      <c r="D233" s="46"/>
      <c r="E233" s="46"/>
      <c r="F233" s="47"/>
      <c r="G233" s="48"/>
      <c r="H233" s="49">
        <f t="shared" si="13"/>
        <v>51</v>
      </c>
      <c r="I233" s="49">
        <f t="shared" si="14"/>
        <v>204</v>
      </c>
      <c r="J233" s="401"/>
      <c r="K233" s="308" t="str">
        <f t="shared" si="15"/>
        <v>Vereinigte Staaten von Amerika - Houston</v>
      </c>
      <c r="L233" s="407" t="s">
        <v>405</v>
      </c>
      <c r="M233" s="408">
        <v>51</v>
      </c>
      <c r="N233" s="408">
        <v>204</v>
      </c>
      <c r="O233" s="307"/>
      <c r="P233" s="176"/>
      <c r="Q233" s="176"/>
      <c r="R233" s="176"/>
      <c r="S233" s="176"/>
      <c r="T233" s="176"/>
      <c r="U233" s="145"/>
      <c r="V233" s="145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27"/>
    </row>
    <row r="234" spans="2:34" ht="13.5" hidden="1" customHeight="1" x14ac:dyDescent="0.2">
      <c r="B234" s="25"/>
      <c r="C234" s="45" t="str">
        <f t="shared" si="12"/>
        <v>Vereinigte Staaten von Amerika - Los Angeles</v>
      </c>
      <c r="D234" s="46"/>
      <c r="E234" s="46"/>
      <c r="F234" s="47"/>
      <c r="G234" s="48"/>
      <c r="H234" s="49">
        <f t="shared" si="13"/>
        <v>53</v>
      </c>
      <c r="I234" s="49">
        <f t="shared" si="14"/>
        <v>262</v>
      </c>
      <c r="J234" s="401"/>
      <c r="K234" s="308" t="str">
        <f t="shared" si="15"/>
        <v>Vereinigte Staaten von Amerika - Los Angeles</v>
      </c>
      <c r="L234" s="407" t="s">
        <v>406</v>
      </c>
      <c r="M234" s="408">
        <v>53</v>
      </c>
      <c r="N234" s="408">
        <v>262</v>
      </c>
      <c r="O234" s="307"/>
      <c r="P234" s="176"/>
      <c r="Q234" s="176"/>
      <c r="R234" s="176"/>
      <c r="S234" s="176"/>
      <c r="T234" s="176"/>
      <c r="U234" s="145"/>
      <c r="V234" s="145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27"/>
    </row>
    <row r="235" spans="2:34" ht="13.5" hidden="1" customHeight="1" x14ac:dyDescent="0.2">
      <c r="B235" s="25"/>
      <c r="C235" s="45" t="str">
        <f t="shared" si="12"/>
        <v>Vereinigte Staaten von Amerika - Miami</v>
      </c>
      <c r="D235" s="46"/>
      <c r="E235" s="46"/>
      <c r="F235" s="47"/>
      <c r="G235" s="48"/>
      <c r="H235" s="49">
        <f t="shared" si="13"/>
        <v>54</v>
      </c>
      <c r="I235" s="49">
        <f t="shared" si="14"/>
        <v>256</v>
      </c>
      <c r="J235" s="401"/>
      <c r="K235" s="308" t="str">
        <f t="shared" si="15"/>
        <v>Vereinigte Staaten von Amerika - Miami</v>
      </c>
      <c r="L235" s="407" t="s">
        <v>418</v>
      </c>
      <c r="M235" s="408">
        <v>54</v>
      </c>
      <c r="N235" s="408">
        <v>256</v>
      </c>
      <c r="O235" s="307"/>
      <c r="P235" s="176"/>
      <c r="Q235" s="176"/>
      <c r="R235" s="176"/>
      <c r="S235" s="176"/>
      <c r="T235" s="176"/>
      <c r="U235" s="145"/>
      <c r="V235" s="145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27"/>
    </row>
    <row r="236" spans="2:34" ht="13.5" hidden="1" customHeight="1" x14ac:dyDescent="0.2">
      <c r="B236" s="25"/>
      <c r="C236" s="45" t="str">
        <f t="shared" si="12"/>
        <v>Vereinigte Staaten von Amerika - New York City</v>
      </c>
      <c r="D236" s="46"/>
      <c r="E236" s="46"/>
      <c r="F236" s="47"/>
      <c r="G236" s="48"/>
      <c r="H236" s="49">
        <f t="shared" si="13"/>
        <v>55</v>
      </c>
      <c r="I236" s="49">
        <f t="shared" si="14"/>
        <v>308</v>
      </c>
      <c r="J236" s="401"/>
      <c r="K236" s="308" t="str">
        <f t="shared" si="15"/>
        <v>Vereinigte Staaten von Amerika - New York City</v>
      </c>
      <c r="L236" s="407" t="s">
        <v>407</v>
      </c>
      <c r="M236" s="408">
        <v>55</v>
      </c>
      <c r="N236" s="408">
        <v>308</v>
      </c>
      <c r="O236" s="307"/>
      <c r="P236" s="176"/>
      <c r="Q236" s="176"/>
      <c r="R236" s="176"/>
      <c r="S236" s="176"/>
      <c r="T236" s="176"/>
      <c r="U236" s="145"/>
      <c r="V236" s="145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27"/>
    </row>
    <row r="237" spans="2:34" ht="13.5" hidden="1" customHeight="1" x14ac:dyDescent="0.2">
      <c r="B237" s="25"/>
      <c r="C237" s="45" t="str">
        <f t="shared" si="12"/>
        <v>Vereinigte Staaten von Amerika - San Francisco</v>
      </c>
      <c r="D237" s="89"/>
      <c r="E237" s="89"/>
      <c r="F237" s="90"/>
      <c r="G237" s="91"/>
      <c r="H237" s="49">
        <f t="shared" si="13"/>
        <v>49</v>
      </c>
      <c r="I237" s="49">
        <f t="shared" si="14"/>
        <v>327</v>
      </c>
      <c r="J237" s="401"/>
      <c r="K237" s="308" t="str">
        <f t="shared" si="15"/>
        <v>Vereinigte Staaten von Amerika - San Francisco</v>
      </c>
      <c r="L237" s="407" t="s">
        <v>408</v>
      </c>
      <c r="M237" s="408">
        <v>49</v>
      </c>
      <c r="N237" s="408">
        <v>327</v>
      </c>
      <c r="O237" s="307"/>
      <c r="P237" s="176"/>
      <c r="Q237" s="176"/>
      <c r="R237" s="176"/>
      <c r="S237" s="176"/>
      <c r="T237" s="176"/>
      <c r="U237" s="145"/>
      <c r="V237" s="145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27"/>
    </row>
    <row r="238" spans="2:34" ht="13.5" hidden="1" customHeight="1" x14ac:dyDescent="0.2">
      <c r="B238" s="25"/>
      <c r="C238" s="45" t="str">
        <f t="shared" si="12"/>
        <v>Vereinigte Staaten von Amerika - Washington, D. C.</v>
      </c>
      <c r="D238" s="46"/>
      <c r="E238" s="46"/>
      <c r="F238" s="47"/>
      <c r="G238" s="48"/>
      <c r="H238" s="49">
        <f t="shared" si="13"/>
        <v>55</v>
      </c>
      <c r="I238" s="49">
        <f t="shared" si="14"/>
        <v>203</v>
      </c>
      <c r="J238" s="401"/>
      <c r="K238" s="308" t="str">
        <f t="shared" si="15"/>
        <v>Vereinigte Staaten von Amerika - Washington, D. C.</v>
      </c>
      <c r="L238" s="407" t="s">
        <v>409</v>
      </c>
      <c r="M238" s="408">
        <v>55</v>
      </c>
      <c r="N238" s="408">
        <v>203</v>
      </c>
      <c r="O238" s="307"/>
      <c r="P238" s="176"/>
      <c r="Q238" s="176"/>
      <c r="R238" s="176"/>
      <c r="S238" s="176"/>
      <c r="T238" s="176"/>
      <c r="U238" s="145"/>
      <c r="V238" s="145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27"/>
    </row>
    <row r="239" spans="2:34" ht="13.5" hidden="1" customHeight="1" x14ac:dyDescent="0.2">
      <c r="B239" s="25"/>
      <c r="C239" s="45" t="str">
        <f t="shared" si="12"/>
        <v>Vereinigte Staaten von Amerika - im Übrigen</v>
      </c>
      <c r="D239" s="46"/>
      <c r="E239" s="46"/>
      <c r="F239" s="47"/>
      <c r="G239" s="48"/>
      <c r="H239" s="49">
        <f t="shared" si="13"/>
        <v>49</v>
      </c>
      <c r="I239" s="49">
        <f t="shared" si="14"/>
        <v>182</v>
      </c>
      <c r="J239" s="401"/>
      <c r="K239" s="308" t="str">
        <f t="shared" si="15"/>
        <v>Vereinigte Staaten von Amerika - im Übrigen</v>
      </c>
      <c r="L239" s="407" t="s">
        <v>410</v>
      </c>
      <c r="M239" s="408">
        <v>49</v>
      </c>
      <c r="N239" s="408">
        <v>182</v>
      </c>
      <c r="O239" s="307"/>
      <c r="P239" s="176"/>
      <c r="Q239" s="176"/>
      <c r="R239" s="176"/>
      <c r="S239" s="176"/>
      <c r="T239" s="176"/>
      <c r="U239" s="145"/>
      <c r="V239" s="145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27"/>
    </row>
    <row r="240" spans="2:34" ht="13.5" hidden="1" customHeight="1" x14ac:dyDescent="0.2">
      <c r="B240" s="25"/>
      <c r="C240" s="45" t="str">
        <f t="shared" si="12"/>
        <v>Vereinigtes Königreichvon Großbritannien und Nordirland - London</v>
      </c>
      <c r="D240" s="46"/>
      <c r="E240" s="46"/>
      <c r="F240" s="47"/>
      <c r="G240" s="48"/>
      <c r="H240" s="49">
        <f t="shared" si="13"/>
        <v>55</v>
      </c>
      <c r="I240" s="49">
        <f t="shared" si="14"/>
        <v>163</v>
      </c>
      <c r="J240" s="401"/>
      <c r="K240" s="308" t="str">
        <f t="shared" si="15"/>
        <v>Vereinigtes Königreichvon Großbritannien und Nordirland - London</v>
      </c>
      <c r="L240" s="407" t="s">
        <v>383</v>
      </c>
      <c r="M240" s="408">
        <v>55</v>
      </c>
      <c r="N240" s="408">
        <v>163</v>
      </c>
      <c r="O240" s="307"/>
      <c r="P240" s="176"/>
      <c r="Q240" s="176"/>
      <c r="R240" s="176"/>
      <c r="S240" s="176"/>
      <c r="T240" s="176"/>
      <c r="U240" s="145"/>
      <c r="V240" s="145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27"/>
    </row>
    <row r="241" spans="2:73" ht="13.5" hidden="1" customHeight="1" x14ac:dyDescent="0.2">
      <c r="B241" s="25"/>
      <c r="C241" s="45" t="str">
        <f t="shared" si="12"/>
        <v>Vereinigtes Königreichvon Großbritannien und Nordirland  - im Übrigen</v>
      </c>
      <c r="D241" s="46"/>
      <c r="E241" s="46"/>
      <c r="F241" s="47"/>
      <c r="G241" s="48"/>
      <c r="H241" s="49">
        <f t="shared" si="13"/>
        <v>43</v>
      </c>
      <c r="I241" s="49">
        <f t="shared" si="14"/>
        <v>99</v>
      </c>
      <c r="J241" s="401"/>
      <c r="K241" s="308" t="str">
        <f t="shared" si="15"/>
        <v>Vereinigtes Königreichvon Großbritannien und Nordirland  - im Übrigen</v>
      </c>
      <c r="L241" s="407" t="s">
        <v>411</v>
      </c>
      <c r="M241" s="408">
        <v>43</v>
      </c>
      <c r="N241" s="408">
        <v>99</v>
      </c>
      <c r="O241" s="307"/>
      <c r="P241" s="176"/>
      <c r="Q241" s="176"/>
      <c r="R241" s="176"/>
      <c r="S241" s="176"/>
      <c r="T241" s="176"/>
      <c r="U241" s="145"/>
      <c r="V241" s="145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27"/>
    </row>
    <row r="242" spans="2:73" ht="13.5" hidden="1" customHeight="1" x14ac:dyDescent="0.2">
      <c r="B242" s="25"/>
      <c r="C242" s="45" t="str">
        <f t="shared" si="12"/>
        <v>Vietnam</v>
      </c>
      <c r="D242" s="46"/>
      <c r="E242" s="46"/>
      <c r="F242" s="47"/>
      <c r="G242" s="48"/>
      <c r="H242" s="49">
        <f t="shared" si="13"/>
        <v>34</v>
      </c>
      <c r="I242" s="49">
        <f t="shared" si="14"/>
        <v>86</v>
      </c>
      <c r="J242" s="401"/>
      <c r="K242" s="308" t="str">
        <f t="shared" si="15"/>
        <v>Vietnam</v>
      </c>
      <c r="L242" s="407" t="s">
        <v>249</v>
      </c>
      <c r="M242" s="408">
        <v>34</v>
      </c>
      <c r="N242" s="408">
        <v>86</v>
      </c>
      <c r="O242" s="307"/>
      <c r="P242" s="176"/>
      <c r="Q242" s="176"/>
      <c r="R242" s="176"/>
      <c r="S242" s="176"/>
      <c r="T242" s="176"/>
      <c r="U242" s="145"/>
      <c r="V242" s="145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27"/>
    </row>
    <row r="243" spans="2:73" ht="13.5" hidden="1" customHeight="1" x14ac:dyDescent="0.2">
      <c r="B243" s="25"/>
      <c r="C243" s="45" t="str">
        <f t="shared" si="12"/>
        <v>Weißrussland</v>
      </c>
      <c r="D243" s="46"/>
      <c r="E243" s="46"/>
      <c r="F243" s="47"/>
      <c r="G243" s="48"/>
      <c r="H243" s="49">
        <f t="shared" si="13"/>
        <v>16</v>
      </c>
      <c r="I243" s="49">
        <f t="shared" si="14"/>
        <v>98</v>
      </c>
      <c r="J243" s="401"/>
      <c r="K243" s="308" t="str">
        <f t="shared" si="15"/>
        <v>Weißrussland</v>
      </c>
      <c r="L243" s="407" t="s">
        <v>59</v>
      </c>
      <c r="M243" s="408">
        <v>16</v>
      </c>
      <c r="N243" s="408">
        <v>98</v>
      </c>
      <c r="O243" s="307"/>
      <c r="P243" s="176"/>
      <c r="Q243" s="176"/>
      <c r="R243" s="176"/>
      <c r="S243" s="176"/>
      <c r="T243" s="176"/>
      <c r="U243" s="145"/>
      <c r="V243" s="145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27"/>
    </row>
    <row r="244" spans="2:73" ht="13.5" hidden="1" customHeight="1" x14ac:dyDescent="0.2">
      <c r="B244" s="25"/>
      <c r="C244" s="45" t="str">
        <f t="shared" si="12"/>
        <v>Zentralafrikanische Republik</v>
      </c>
      <c r="D244" s="46"/>
      <c r="E244" s="46"/>
      <c r="F244" s="47"/>
      <c r="G244" s="48"/>
      <c r="H244" s="49">
        <f t="shared" si="13"/>
        <v>44</v>
      </c>
      <c r="I244" s="49">
        <f t="shared" si="14"/>
        <v>210</v>
      </c>
      <c r="J244" s="401"/>
      <c r="K244" s="308" t="str">
        <f t="shared" si="15"/>
        <v>Zentralafrikanische Republik</v>
      </c>
      <c r="L244" s="407" t="s">
        <v>250</v>
      </c>
      <c r="M244" s="408">
        <v>44</v>
      </c>
      <c r="N244" s="408">
        <v>210</v>
      </c>
      <c r="O244" s="307"/>
      <c r="P244" s="176"/>
      <c r="Q244" s="176"/>
      <c r="R244" s="176"/>
      <c r="S244" s="176"/>
      <c r="T244" s="176"/>
      <c r="U244" s="145"/>
      <c r="V244" s="145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27"/>
    </row>
    <row r="245" spans="2:73" ht="13.5" hidden="1" customHeight="1" x14ac:dyDescent="0.2">
      <c r="B245" s="25"/>
      <c r="C245" s="45" t="str">
        <f t="shared" si="12"/>
        <v>Zypern</v>
      </c>
      <c r="D245" s="92"/>
      <c r="E245" s="92"/>
      <c r="F245" s="93"/>
      <c r="G245" s="94"/>
      <c r="H245" s="49">
        <f t="shared" si="13"/>
        <v>35</v>
      </c>
      <c r="I245" s="49">
        <f t="shared" si="14"/>
        <v>125</v>
      </c>
      <c r="J245" s="401"/>
      <c r="K245" s="308" t="str">
        <f t="shared" si="15"/>
        <v>Zypern</v>
      </c>
      <c r="L245" s="407" t="s">
        <v>43</v>
      </c>
      <c r="M245" s="408">
        <v>35</v>
      </c>
      <c r="N245" s="408">
        <v>125</v>
      </c>
      <c r="O245" s="307"/>
      <c r="P245" s="176"/>
      <c r="Q245" s="176"/>
      <c r="R245" s="176"/>
      <c r="S245" s="176"/>
      <c r="T245" s="176"/>
      <c r="U245" s="145"/>
      <c r="V245" s="145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27"/>
    </row>
    <row r="246" spans="2:73" ht="42.75" hidden="1" customHeight="1" x14ac:dyDescent="0.2">
      <c r="B246" s="25"/>
      <c r="C246" s="142"/>
      <c r="D246" s="143"/>
      <c r="E246" s="143"/>
      <c r="F246" s="144"/>
      <c r="G246" s="144"/>
      <c r="H246" s="141"/>
      <c r="I246" s="141"/>
      <c r="J246" s="317"/>
      <c r="K246" s="316"/>
      <c r="L246" s="316"/>
      <c r="M246" s="371"/>
      <c r="N246" s="371"/>
      <c r="O246" s="176"/>
      <c r="P246" s="145"/>
      <c r="Q246" s="145"/>
      <c r="R246" s="145"/>
      <c r="S246" s="145"/>
      <c r="T246" s="145"/>
      <c r="U246" s="145"/>
      <c r="V246" s="145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27"/>
    </row>
    <row r="247" spans="2:73" x14ac:dyDescent="0.2">
      <c r="B247" s="25"/>
      <c r="C247" s="426" t="s">
        <v>260</v>
      </c>
      <c r="D247" s="427"/>
      <c r="E247" s="427"/>
      <c r="F247" s="427"/>
      <c r="G247" s="428"/>
      <c r="H247" s="311"/>
      <c r="I247" s="312"/>
      <c r="J247" s="318"/>
      <c r="K247" s="318"/>
      <c r="L247" s="318"/>
      <c r="M247" s="369"/>
      <c r="N247" s="369"/>
      <c r="W247" s="341"/>
      <c r="X247" s="341"/>
      <c r="Y247" s="341"/>
      <c r="Z247" s="341"/>
      <c r="AA247" s="341"/>
      <c r="AB247" s="341"/>
      <c r="AC247" s="341"/>
      <c r="AD247" s="341"/>
      <c r="AE247" s="341"/>
      <c r="AF247" s="341"/>
      <c r="AG247" s="341"/>
      <c r="AH247" s="341"/>
      <c r="AI247" s="341"/>
      <c r="AJ247" s="341"/>
      <c r="AK247" s="341"/>
      <c r="AL247" s="341"/>
      <c r="AM247" s="341"/>
      <c r="AN247" s="341"/>
      <c r="AO247" s="341"/>
      <c r="AP247" s="341"/>
      <c r="AQ247" s="341"/>
      <c r="AR247" s="341"/>
      <c r="AS247" s="341"/>
      <c r="AT247" s="341"/>
      <c r="AU247" s="341"/>
      <c r="AV247" s="341"/>
      <c r="AW247" s="341"/>
      <c r="AX247" s="341"/>
      <c r="AY247" s="341"/>
      <c r="AZ247" s="341"/>
      <c r="BA247" s="341"/>
      <c r="BB247" s="341"/>
      <c r="BC247" s="341"/>
      <c r="BD247" s="341"/>
      <c r="BE247" s="341"/>
      <c r="BF247" s="341"/>
      <c r="BG247" s="341"/>
      <c r="BH247" s="341"/>
      <c r="BI247" s="341"/>
      <c r="BJ247" s="341"/>
      <c r="BK247" s="341"/>
      <c r="BL247" s="341"/>
      <c r="BM247" s="341"/>
      <c r="BN247" s="341"/>
      <c r="BO247" s="341"/>
      <c r="BP247" s="341"/>
      <c r="BQ247" s="341"/>
      <c r="BR247" s="341"/>
      <c r="BS247" s="341"/>
      <c r="BT247" s="341"/>
      <c r="BU247" s="341"/>
    </row>
    <row r="248" spans="2:73" hidden="1" x14ac:dyDescent="0.2">
      <c r="B248" s="25"/>
      <c r="C248" s="313"/>
      <c r="D248" s="313"/>
      <c r="E248" s="313"/>
      <c r="F248" s="313"/>
      <c r="G248" s="313"/>
      <c r="H248" s="314"/>
      <c r="I248" s="314"/>
      <c r="J248" s="200"/>
      <c r="K248" s="200"/>
      <c r="L248" s="200"/>
      <c r="M248" s="369"/>
      <c r="N248" s="369"/>
      <c r="O248" s="176"/>
      <c r="P248" s="145"/>
      <c r="Q248" s="145"/>
      <c r="R248" s="145"/>
      <c r="S248" s="145"/>
      <c r="T248" s="145"/>
      <c r="U248" s="145"/>
      <c r="V248" s="145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</row>
    <row r="249" spans="2:73" hidden="1" x14ac:dyDescent="0.2">
      <c r="B249" s="25"/>
      <c r="C249" s="209" t="s">
        <v>311</v>
      </c>
      <c r="D249" s="204"/>
      <c r="E249" s="204"/>
      <c r="F249" s="176"/>
      <c r="G249" s="209" t="s">
        <v>278</v>
      </c>
      <c r="H249" s="215"/>
      <c r="I249" s="215"/>
      <c r="J249" s="215"/>
      <c r="K249" s="145"/>
      <c r="L249" s="27"/>
      <c r="O249" s="145"/>
      <c r="P249" s="189" t="s">
        <v>306</v>
      </c>
      <c r="Q249" s="193"/>
      <c r="R249" s="193"/>
      <c r="S249" s="193"/>
      <c r="T249" s="193"/>
      <c r="U249" s="193"/>
      <c r="V249" s="27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</row>
    <row r="250" spans="2:73" hidden="1" x14ac:dyDescent="0.2">
      <c r="B250" s="25"/>
      <c r="C250" s="204"/>
      <c r="D250" s="204"/>
      <c r="E250" s="210" t="s">
        <v>309</v>
      </c>
      <c r="F250" s="176"/>
      <c r="G250" s="215" t="s">
        <v>283</v>
      </c>
      <c r="H250" s="226">
        <v>21.5</v>
      </c>
      <c r="I250" s="215"/>
      <c r="J250" s="215"/>
      <c r="K250" s="145"/>
      <c r="L250" s="27"/>
      <c r="O250" s="315" t="s">
        <v>291</v>
      </c>
      <c r="P250" s="232">
        <f t="shared" ref="P250:P258" si="16">IF(R323=1,3,0)</f>
        <v>3</v>
      </c>
      <c r="Q250" s="232">
        <f t="shared" ref="Q250:Q258" si="17">IF(S323=1,6,0)</f>
        <v>0</v>
      </c>
      <c r="R250" s="232">
        <f t="shared" ref="R250:R258" si="18">IF(T323=1,6,0)</f>
        <v>0</v>
      </c>
      <c r="S250" s="232">
        <f t="shared" ref="S250:S258" si="19">SUM(P250:R250)</f>
        <v>3</v>
      </c>
      <c r="T250" s="236">
        <f t="shared" ref="T250:T258" si="20">S250</f>
        <v>3</v>
      </c>
      <c r="U250" s="232">
        <f t="shared" ref="U250:U258" si="21">IF(SUM(E285-T250)&gt;0,SUM(E285-T250),0)</f>
        <v>12</v>
      </c>
      <c r="V250" s="27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</row>
    <row r="251" spans="2:73" hidden="1" x14ac:dyDescent="0.2">
      <c r="B251" s="25"/>
      <c r="C251" s="211" t="s">
        <v>276</v>
      </c>
      <c r="D251" s="212"/>
      <c r="E251" s="213">
        <f>IF(H247=0,E255,H247)</f>
        <v>41</v>
      </c>
      <c r="F251" s="176"/>
      <c r="G251" s="215" t="s">
        <v>284</v>
      </c>
      <c r="H251" s="226">
        <v>18.5</v>
      </c>
      <c r="I251" s="215"/>
      <c r="J251" s="215"/>
      <c r="K251" s="145"/>
      <c r="L251" s="27"/>
      <c r="O251" s="315" t="s">
        <v>292</v>
      </c>
      <c r="P251" s="232">
        <f t="shared" si="16"/>
        <v>3</v>
      </c>
      <c r="Q251" s="232">
        <f t="shared" si="17"/>
        <v>0</v>
      </c>
      <c r="R251" s="232">
        <f t="shared" si="18"/>
        <v>0</v>
      </c>
      <c r="S251" s="232">
        <f t="shared" si="19"/>
        <v>3</v>
      </c>
      <c r="T251" s="236">
        <f t="shared" si="20"/>
        <v>3</v>
      </c>
      <c r="U251" s="232">
        <f t="shared" si="21"/>
        <v>12</v>
      </c>
      <c r="V251" s="27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</row>
    <row r="252" spans="2:73" hidden="1" x14ac:dyDescent="0.2">
      <c r="B252" s="25"/>
      <c r="C252" s="214">
        <f>H17</f>
        <v>43830</v>
      </c>
      <c r="D252" s="204"/>
      <c r="E252" s="215" t="s">
        <v>310</v>
      </c>
      <c r="F252" s="176"/>
      <c r="G252" s="226" t="s">
        <v>94</v>
      </c>
      <c r="H252" s="228">
        <v>0.4</v>
      </c>
      <c r="I252" s="215"/>
      <c r="J252" s="229"/>
      <c r="K252" s="145"/>
      <c r="L252" s="27"/>
      <c r="O252" s="315" t="s">
        <v>293</v>
      </c>
      <c r="P252" s="232">
        <f t="shared" si="16"/>
        <v>3</v>
      </c>
      <c r="Q252" s="232">
        <f t="shared" si="17"/>
        <v>0</v>
      </c>
      <c r="R252" s="232">
        <f t="shared" si="18"/>
        <v>0</v>
      </c>
      <c r="S252" s="232">
        <f t="shared" si="19"/>
        <v>3</v>
      </c>
      <c r="T252" s="236">
        <f t="shared" si="20"/>
        <v>3</v>
      </c>
      <c r="U252" s="232">
        <f t="shared" si="21"/>
        <v>12</v>
      </c>
      <c r="V252" s="27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</row>
    <row r="253" spans="2:73" hidden="1" x14ac:dyDescent="0.2">
      <c r="B253" s="25"/>
      <c r="C253" s="214" t="s">
        <v>277</v>
      </c>
      <c r="D253" s="204"/>
      <c r="E253" s="213">
        <f>IF(I247=0,E257,I247)</f>
        <v>117</v>
      </c>
      <c r="F253" s="176"/>
      <c r="G253" s="226" t="s">
        <v>95</v>
      </c>
      <c r="H253" s="228">
        <v>0.25</v>
      </c>
      <c r="I253" s="215"/>
      <c r="J253" s="229"/>
      <c r="K253" s="145"/>
      <c r="L253" s="27"/>
      <c r="O253" s="315" t="s">
        <v>294</v>
      </c>
      <c r="P253" s="232">
        <f t="shared" si="16"/>
        <v>3</v>
      </c>
      <c r="Q253" s="232">
        <f t="shared" si="17"/>
        <v>0</v>
      </c>
      <c r="R253" s="232">
        <f t="shared" si="18"/>
        <v>0</v>
      </c>
      <c r="S253" s="232">
        <f t="shared" si="19"/>
        <v>3</v>
      </c>
      <c r="T253" s="236">
        <f t="shared" si="20"/>
        <v>3</v>
      </c>
      <c r="U253" s="232">
        <f t="shared" si="21"/>
        <v>12</v>
      </c>
      <c r="V253" s="27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</row>
    <row r="254" spans="2:73" hidden="1" x14ac:dyDescent="0.2">
      <c r="B254" s="25"/>
      <c r="C254" s="214">
        <f>I17</f>
        <v>43859</v>
      </c>
      <c r="D254" s="204"/>
      <c r="E254" s="215" t="s">
        <v>312</v>
      </c>
      <c r="F254" s="176"/>
      <c r="G254" s="215"/>
      <c r="H254" s="226" t="s">
        <v>73</v>
      </c>
      <c r="I254" s="215"/>
      <c r="J254" s="215"/>
      <c r="K254" s="145"/>
      <c r="L254" s="27"/>
      <c r="O254" s="315" t="s">
        <v>295</v>
      </c>
      <c r="P254" s="232">
        <f t="shared" si="16"/>
        <v>3</v>
      </c>
      <c r="Q254" s="232">
        <f t="shared" si="17"/>
        <v>0</v>
      </c>
      <c r="R254" s="232">
        <f t="shared" si="18"/>
        <v>0</v>
      </c>
      <c r="S254" s="232">
        <f t="shared" si="19"/>
        <v>3</v>
      </c>
      <c r="T254" s="236">
        <f t="shared" si="20"/>
        <v>3</v>
      </c>
      <c r="U254" s="232">
        <f t="shared" si="21"/>
        <v>12</v>
      </c>
      <c r="V254" s="27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</row>
    <row r="255" spans="2:73" hidden="1" x14ac:dyDescent="0.2">
      <c r="B255" s="25"/>
      <c r="C255" s="216" t="s">
        <v>275</v>
      </c>
      <c r="D255" s="207"/>
      <c r="E255" s="217">
        <f>SUBTOTAL(9,H22:H245)</f>
        <v>41</v>
      </c>
      <c r="F255" s="176"/>
      <c r="G255" s="215"/>
      <c r="H255" s="215"/>
      <c r="I255" s="215"/>
      <c r="J255" s="215"/>
      <c r="K255" s="145"/>
      <c r="L255" s="27"/>
      <c r="O255" s="315" t="s">
        <v>296</v>
      </c>
      <c r="P255" s="232">
        <f t="shared" si="16"/>
        <v>3</v>
      </c>
      <c r="Q255" s="232">
        <f t="shared" si="17"/>
        <v>0</v>
      </c>
      <c r="R255" s="232">
        <f t="shared" si="18"/>
        <v>0</v>
      </c>
      <c r="S255" s="232">
        <f t="shared" si="19"/>
        <v>3</v>
      </c>
      <c r="T255" s="236">
        <f t="shared" si="20"/>
        <v>3</v>
      </c>
      <c r="U255" s="232">
        <f t="shared" si="21"/>
        <v>12</v>
      </c>
      <c r="V255" s="27"/>
      <c r="W255" s="179"/>
      <c r="X255" s="179"/>
      <c r="Y255" s="179"/>
      <c r="Z255" s="179"/>
      <c r="AA255" s="179"/>
      <c r="AB255" s="179"/>
      <c r="AC255" s="179"/>
      <c r="AD255" s="179"/>
      <c r="AE255" s="179"/>
      <c r="AF255" s="179"/>
      <c r="AG255" s="179"/>
    </row>
    <row r="256" spans="2:73" hidden="1" x14ac:dyDescent="0.2">
      <c r="B256" s="25"/>
      <c r="C256" s="214">
        <f>IF(C260&gt;1,C254-C252+1,1)</f>
        <v>30</v>
      </c>
      <c r="D256" s="207"/>
      <c r="E256" s="215" t="s">
        <v>313</v>
      </c>
      <c r="F256" s="176"/>
      <c r="G256" s="215"/>
      <c r="H256" s="230">
        <v>6.9444444444444447E-4</v>
      </c>
      <c r="I256" s="215"/>
      <c r="J256" s="229"/>
      <c r="K256" s="145"/>
      <c r="L256" s="27"/>
      <c r="O256" s="315" t="s">
        <v>297</v>
      </c>
      <c r="P256" s="232">
        <f t="shared" si="16"/>
        <v>3</v>
      </c>
      <c r="Q256" s="232">
        <f t="shared" si="17"/>
        <v>0</v>
      </c>
      <c r="R256" s="232">
        <f t="shared" si="18"/>
        <v>0</v>
      </c>
      <c r="S256" s="232">
        <f t="shared" si="19"/>
        <v>3</v>
      </c>
      <c r="T256" s="236">
        <f t="shared" si="20"/>
        <v>3</v>
      </c>
      <c r="U256" s="232">
        <f t="shared" si="21"/>
        <v>12</v>
      </c>
      <c r="V256" s="27"/>
      <c r="W256" s="179"/>
      <c r="X256" s="179"/>
      <c r="Y256" s="179"/>
      <c r="Z256" s="179"/>
      <c r="AA256" s="179"/>
      <c r="AB256" s="179"/>
      <c r="AC256" s="179"/>
      <c r="AD256" s="179"/>
      <c r="AE256" s="179"/>
      <c r="AF256" s="179"/>
      <c r="AG256" s="179"/>
    </row>
    <row r="257" spans="2:33" hidden="1" x14ac:dyDescent="0.2">
      <c r="B257" s="25"/>
      <c r="C257" s="218" t="s">
        <v>281</v>
      </c>
      <c r="D257" s="219"/>
      <c r="E257" s="217">
        <f>SUBTOTAL(9,I22:I245)</f>
        <v>117</v>
      </c>
      <c r="F257" s="176"/>
      <c r="G257" s="215"/>
      <c r="H257" s="230">
        <v>0.99930555555555545</v>
      </c>
      <c r="I257" s="215"/>
      <c r="J257" s="229"/>
      <c r="K257" s="145"/>
      <c r="L257" s="27"/>
      <c r="O257" s="315" t="s">
        <v>298</v>
      </c>
      <c r="P257" s="240">
        <f t="shared" si="16"/>
        <v>3</v>
      </c>
      <c r="Q257" s="240">
        <f t="shared" si="17"/>
        <v>0</v>
      </c>
      <c r="R257" s="240">
        <f t="shared" si="18"/>
        <v>0</v>
      </c>
      <c r="S257" s="240">
        <f t="shared" si="19"/>
        <v>3</v>
      </c>
      <c r="T257" s="241">
        <f t="shared" si="20"/>
        <v>3</v>
      </c>
      <c r="U257" s="240">
        <f t="shared" si="21"/>
        <v>12</v>
      </c>
      <c r="V257" s="27"/>
      <c r="W257" s="179"/>
      <c r="X257" s="179"/>
      <c r="Y257" s="179"/>
      <c r="Z257" s="179"/>
      <c r="AA257" s="179"/>
      <c r="AB257" s="179"/>
      <c r="AC257" s="179"/>
      <c r="AD257" s="179"/>
      <c r="AE257" s="179"/>
      <c r="AF257" s="179"/>
      <c r="AG257" s="179"/>
    </row>
    <row r="258" spans="2:33" hidden="1" x14ac:dyDescent="0.2">
      <c r="B258" s="25"/>
      <c r="C258" s="211">
        <f>IF(C256&gt;1,C256-1,0)</f>
        <v>29</v>
      </c>
      <c r="D258" s="219"/>
      <c r="E258" s="213"/>
      <c r="F258" s="176"/>
      <c r="G258" s="215"/>
      <c r="H258" s="230">
        <v>0.33333333333333331</v>
      </c>
      <c r="I258" s="215"/>
      <c r="J258" s="229"/>
      <c r="K258" s="178"/>
      <c r="L258" s="27"/>
      <c r="O258" s="315" t="s">
        <v>299</v>
      </c>
      <c r="P258" s="232">
        <f t="shared" si="16"/>
        <v>3</v>
      </c>
      <c r="Q258" s="232">
        <f t="shared" si="17"/>
        <v>0</v>
      </c>
      <c r="R258" s="232">
        <f t="shared" si="18"/>
        <v>0</v>
      </c>
      <c r="S258" s="232">
        <f t="shared" si="19"/>
        <v>3</v>
      </c>
      <c r="T258" s="236">
        <f t="shared" si="20"/>
        <v>3</v>
      </c>
      <c r="U258" s="232">
        <f t="shared" si="21"/>
        <v>12</v>
      </c>
      <c r="V258" s="27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</row>
    <row r="259" spans="2:33" hidden="1" x14ac:dyDescent="0.2">
      <c r="B259" s="25"/>
      <c r="C259" s="218" t="s">
        <v>279</v>
      </c>
      <c r="D259" s="219"/>
      <c r="E259" s="206"/>
      <c r="F259" s="158"/>
      <c r="G259" s="215"/>
      <c r="H259" s="230">
        <v>0.58333333333333326</v>
      </c>
      <c r="I259" s="215"/>
      <c r="J259" s="229"/>
      <c r="K259" s="178"/>
      <c r="L259" s="27"/>
      <c r="O259" s="145"/>
      <c r="P259" s="193"/>
      <c r="Q259" s="193"/>
      <c r="R259" s="193"/>
      <c r="S259" s="193"/>
      <c r="T259" s="193"/>
      <c r="U259" s="193"/>
      <c r="V259" s="27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</row>
    <row r="260" spans="2:33" hidden="1" x14ac:dyDescent="0.2">
      <c r="B260" s="25"/>
      <c r="C260" s="220">
        <v>3</v>
      </c>
      <c r="D260" s="207"/>
      <c r="E260" s="206"/>
      <c r="F260" s="158"/>
      <c r="G260" s="215"/>
      <c r="H260" s="230">
        <v>0.99930555555555545</v>
      </c>
      <c r="I260" s="215"/>
      <c r="J260" s="229"/>
      <c r="K260" s="178"/>
      <c r="L260" s="27"/>
      <c r="O260" s="145"/>
      <c r="P260" s="189" t="s">
        <v>307</v>
      </c>
      <c r="Q260" s="193"/>
      <c r="R260" s="193"/>
      <c r="S260" s="193"/>
      <c r="T260" s="193"/>
      <c r="U260" s="193"/>
      <c r="V260" s="27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</row>
    <row r="261" spans="2:33" hidden="1" x14ac:dyDescent="0.2">
      <c r="B261" s="25"/>
      <c r="C261" s="209" t="s">
        <v>280</v>
      </c>
      <c r="D261" s="215"/>
      <c r="E261" s="215"/>
      <c r="F261" s="158"/>
      <c r="G261" s="215"/>
      <c r="H261" s="215"/>
      <c r="I261" s="215"/>
      <c r="J261" s="229"/>
      <c r="K261" s="145"/>
      <c r="L261" s="27"/>
      <c r="O261" s="315" t="s">
        <v>291</v>
      </c>
      <c r="P261" s="242">
        <f t="shared" ref="P261:P267" si="22">IF($U309=17.2,IF(R323=1,3.44,0),IF(R323=1,4.3,0))</f>
        <v>4.3</v>
      </c>
      <c r="Q261" s="242">
        <f t="shared" ref="Q261:Q267" si="23">IF($U309=17.2,IF(S323=1,6.88,0),IF(S323=1,8.6,0))</f>
        <v>0</v>
      </c>
      <c r="R261" s="242">
        <f t="shared" ref="R261:R267" si="24">IF(U309=17.2,IF(T323=1,6.88,0),IF(T323=1,8.6,0))</f>
        <v>0</v>
      </c>
      <c r="S261" s="242">
        <f t="shared" ref="S261:S269" si="25">SUM(P261:R261)</f>
        <v>4.3</v>
      </c>
      <c r="T261" s="236">
        <f t="shared" ref="T261:T269" si="26">S261</f>
        <v>4.3</v>
      </c>
      <c r="U261" s="232">
        <f t="shared" ref="U261:U269" si="27">IF(SUM(H285-T261)&gt;0,SUM(H285-T261),0)</f>
        <v>17.2</v>
      </c>
      <c r="V261" s="27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</row>
    <row r="262" spans="2:33" hidden="1" x14ac:dyDescent="0.2">
      <c r="B262" s="25"/>
      <c r="C262" s="215">
        <f>IF(H17=0,0,1)</f>
        <v>1</v>
      </c>
      <c r="D262" s="215">
        <f>IF(I17=0,0,1)</f>
        <v>1</v>
      </c>
      <c r="E262" s="215"/>
      <c r="F262" s="176"/>
      <c r="G262" s="231">
        <f>(E251/100)*40</f>
        <v>16.399999999999999</v>
      </c>
      <c r="H262" s="218" t="s">
        <v>318</v>
      </c>
      <c r="I262" s="215"/>
      <c r="J262" s="229"/>
      <c r="K262" s="145"/>
      <c r="L262" s="27"/>
      <c r="O262" s="315" t="s">
        <v>292</v>
      </c>
      <c r="P262" s="242">
        <f t="shared" si="22"/>
        <v>4.3</v>
      </c>
      <c r="Q262" s="242">
        <f t="shared" si="23"/>
        <v>0</v>
      </c>
      <c r="R262" s="242">
        <f t="shared" si="24"/>
        <v>0</v>
      </c>
      <c r="S262" s="242">
        <f t="shared" si="25"/>
        <v>4.3</v>
      </c>
      <c r="T262" s="236">
        <f t="shared" si="26"/>
        <v>4.3</v>
      </c>
      <c r="U262" s="232">
        <f t="shared" si="27"/>
        <v>12.899999999999999</v>
      </c>
      <c r="V262" s="27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</row>
    <row r="263" spans="2:33" hidden="1" x14ac:dyDescent="0.2">
      <c r="B263" s="25"/>
      <c r="C263" s="215">
        <f>IF(H18=0,0,1)</f>
        <v>1</v>
      </c>
      <c r="D263" s="215">
        <f>IF(I18=0,0,1)</f>
        <v>1</v>
      </c>
      <c r="E263" s="215"/>
      <c r="F263" s="180"/>
      <c r="G263" s="231">
        <f>(E251/100)*80</f>
        <v>32.799999999999997</v>
      </c>
      <c r="H263" s="218" t="s">
        <v>317</v>
      </c>
      <c r="I263" s="215"/>
      <c r="J263" s="215"/>
      <c r="K263" s="145"/>
      <c r="L263" s="27"/>
      <c r="O263" s="315" t="s">
        <v>293</v>
      </c>
      <c r="P263" s="242">
        <f t="shared" si="22"/>
        <v>4.3</v>
      </c>
      <c r="Q263" s="242">
        <f t="shared" si="23"/>
        <v>0</v>
      </c>
      <c r="R263" s="242">
        <f t="shared" si="24"/>
        <v>0</v>
      </c>
      <c r="S263" s="242">
        <f t="shared" si="25"/>
        <v>4.3</v>
      </c>
      <c r="T263" s="236">
        <f t="shared" si="26"/>
        <v>4.3</v>
      </c>
      <c r="U263" s="232">
        <f t="shared" si="27"/>
        <v>12.899999999999999</v>
      </c>
      <c r="V263" s="27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</row>
    <row r="264" spans="2:33" hidden="1" x14ac:dyDescent="0.2">
      <c r="B264" s="25"/>
      <c r="C264" s="215" t="s">
        <v>282</v>
      </c>
      <c r="D264" s="215"/>
      <c r="E264" s="215"/>
      <c r="G264" s="215"/>
      <c r="H264" s="215"/>
      <c r="I264" s="215"/>
      <c r="J264" s="215"/>
      <c r="K264" s="145"/>
      <c r="L264" s="27"/>
      <c r="O264" s="315" t="s">
        <v>294</v>
      </c>
      <c r="P264" s="242">
        <f t="shared" si="22"/>
        <v>4.3</v>
      </c>
      <c r="Q264" s="242">
        <f t="shared" si="23"/>
        <v>0</v>
      </c>
      <c r="R264" s="242">
        <f t="shared" si="24"/>
        <v>0</v>
      </c>
      <c r="S264" s="242">
        <f t="shared" si="25"/>
        <v>4.3</v>
      </c>
      <c r="T264" s="236">
        <f t="shared" si="26"/>
        <v>4.3</v>
      </c>
      <c r="U264" s="232">
        <f t="shared" si="27"/>
        <v>12.899999999999999</v>
      </c>
      <c r="V264" s="27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</row>
    <row r="265" spans="2:33" hidden="1" x14ac:dyDescent="0.2">
      <c r="B265" s="25"/>
      <c r="C265" s="215">
        <f>C262+C263+D263</f>
        <v>3</v>
      </c>
      <c r="D265" s="215"/>
      <c r="E265" s="215"/>
      <c r="F265" s="180"/>
      <c r="G265" s="226"/>
      <c r="H265" s="215"/>
      <c r="I265" s="215"/>
      <c r="J265" s="215"/>
      <c r="K265" s="145"/>
      <c r="L265" s="27"/>
      <c r="O265" s="315" t="s">
        <v>295</v>
      </c>
      <c r="P265" s="242">
        <f t="shared" si="22"/>
        <v>4.3</v>
      </c>
      <c r="Q265" s="242">
        <f t="shared" si="23"/>
        <v>0</v>
      </c>
      <c r="R265" s="242">
        <f t="shared" si="24"/>
        <v>0</v>
      </c>
      <c r="S265" s="242">
        <f t="shared" si="25"/>
        <v>4.3</v>
      </c>
      <c r="T265" s="236">
        <f t="shared" si="26"/>
        <v>4.3</v>
      </c>
      <c r="U265" s="232">
        <f t="shared" si="27"/>
        <v>12.899999999999999</v>
      </c>
      <c r="V265" s="27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</row>
    <row r="266" spans="2:33" hidden="1" x14ac:dyDescent="0.2">
      <c r="B266" s="25"/>
      <c r="C266" s="321" t="s">
        <v>341</v>
      </c>
      <c r="D266" s="222"/>
      <c r="E266" s="207"/>
      <c r="G266" s="158"/>
      <c r="H266" s="158"/>
      <c r="I266" s="158"/>
      <c r="J266" s="27"/>
      <c r="K266" s="27"/>
      <c r="L266" s="27"/>
      <c r="O266" s="315" t="s">
        <v>296</v>
      </c>
      <c r="P266" s="242">
        <f t="shared" si="22"/>
        <v>4.3</v>
      </c>
      <c r="Q266" s="242">
        <f t="shared" si="23"/>
        <v>0</v>
      </c>
      <c r="R266" s="242">
        <f t="shared" si="24"/>
        <v>0</v>
      </c>
      <c r="S266" s="242">
        <f t="shared" si="25"/>
        <v>4.3</v>
      </c>
      <c r="T266" s="236">
        <f t="shared" si="26"/>
        <v>4.3</v>
      </c>
      <c r="U266" s="232">
        <f t="shared" si="27"/>
        <v>12.899999999999999</v>
      </c>
      <c r="V266" s="27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</row>
    <row r="267" spans="2:33" hidden="1" x14ac:dyDescent="0.2">
      <c r="B267" s="25"/>
      <c r="C267" s="322">
        <f>IF(C260=5,1,IF(C260=4,1,0))</f>
        <v>0</v>
      </c>
      <c r="D267" s="222"/>
      <c r="E267" s="207"/>
      <c r="G267" s="158"/>
      <c r="H267" s="180"/>
      <c r="I267" s="180"/>
      <c r="J267" s="145"/>
      <c r="K267" s="145"/>
      <c r="L267" s="27"/>
      <c r="O267" s="315" t="s">
        <v>297</v>
      </c>
      <c r="P267" s="242">
        <f t="shared" si="22"/>
        <v>4.3</v>
      </c>
      <c r="Q267" s="242">
        <f t="shared" si="23"/>
        <v>0</v>
      </c>
      <c r="R267" s="242">
        <f t="shared" si="24"/>
        <v>0</v>
      </c>
      <c r="S267" s="242">
        <f t="shared" si="25"/>
        <v>4.3</v>
      </c>
      <c r="T267" s="236">
        <f t="shared" si="26"/>
        <v>4.3</v>
      </c>
      <c r="U267" s="232">
        <f t="shared" si="27"/>
        <v>12.899999999999999</v>
      </c>
      <c r="V267" s="27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</row>
    <row r="268" spans="2:33" hidden="1" x14ac:dyDescent="0.2">
      <c r="B268" s="25"/>
      <c r="C268" s="185"/>
      <c r="D268" s="185"/>
      <c r="G268" s="158"/>
      <c r="H268" s="180"/>
      <c r="I268" s="180"/>
      <c r="J268" s="145"/>
      <c r="K268" s="145"/>
      <c r="L268" s="27"/>
      <c r="O268" s="315" t="s">
        <v>298</v>
      </c>
      <c r="P268" s="245">
        <f>IF($U316&gt;17.1,IF(R330=1,3.44,0),IF(R330=1,4.3,0))</f>
        <v>3.44</v>
      </c>
      <c r="Q268" s="245">
        <f>IF($U316&gt;17.1,IF(S330=1,6.88,0),IF(S330=1,8.6,0))</f>
        <v>0</v>
      </c>
      <c r="R268" s="245">
        <f>IF(U316&gt;17.1,IF(T330=1,6.88,0),IF(T330=1,8.6,0))</f>
        <v>0</v>
      </c>
      <c r="S268" s="246">
        <f>SUM(P268:R268)</f>
        <v>3.44</v>
      </c>
      <c r="T268" s="247">
        <f t="shared" si="26"/>
        <v>3.44</v>
      </c>
      <c r="U268" s="248">
        <f>IF(SUM(H292-T268)&gt;0,SUM(H292-T268),0)</f>
        <v>13.76</v>
      </c>
      <c r="V268" s="27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</row>
    <row r="269" spans="2:33" hidden="1" x14ac:dyDescent="0.2">
      <c r="B269" s="25"/>
      <c r="D269" s="176"/>
      <c r="E269" s="176"/>
      <c r="F269" s="176"/>
      <c r="G269" s="176"/>
      <c r="H269" s="176"/>
      <c r="I269" s="180"/>
      <c r="J269" s="182"/>
      <c r="K269" s="176"/>
      <c r="L269" s="27"/>
      <c r="O269" s="315" t="s">
        <v>299</v>
      </c>
      <c r="P269" s="242">
        <f>IF($U317=17.2,IF(R331=1,3.44,0),IF(R331=1,4.3,0))</f>
        <v>4.3</v>
      </c>
      <c r="Q269" s="242">
        <f>IF($U317=17.2,IF(S331=1,6.88,0),IF(S331=1,8.6,0))</f>
        <v>0</v>
      </c>
      <c r="R269" s="242">
        <f>IF(U317=17.2,IF(T331=1,6.88,0),IF(T331=1,8.6,0))</f>
        <v>0</v>
      </c>
      <c r="S269" s="243">
        <f t="shared" si="25"/>
        <v>4.3</v>
      </c>
      <c r="T269" s="236">
        <f t="shared" si="26"/>
        <v>4.3</v>
      </c>
      <c r="U269" s="232">
        <f t="shared" si="27"/>
        <v>17.2</v>
      </c>
      <c r="V269" s="27"/>
      <c r="W269" s="179"/>
      <c r="X269" s="179"/>
      <c r="Y269" s="179"/>
      <c r="Z269" s="179"/>
      <c r="AA269" s="179"/>
      <c r="AB269" s="179"/>
      <c r="AC269" s="179"/>
      <c r="AD269" s="179"/>
      <c r="AE269" s="179"/>
      <c r="AF269" s="179"/>
      <c r="AG269" s="179"/>
    </row>
    <row r="270" spans="2:33" hidden="1" x14ac:dyDescent="0.2">
      <c r="B270" s="25"/>
      <c r="C270" s="176"/>
      <c r="D270" s="176"/>
      <c r="E270" s="176"/>
      <c r="F270" s="176"/>
      <c r="G270" s="176"/>
      <c r="H270" s="176"/>
      <c r="I270" s="180"/>
      <c r="J270" s="182"/>
      <c r="K270" s="27"/>
      <c r="L270" s="27"/>
      <c r="O270" s="197"/>
      <c r="P270" s="197"/>
      <c r="Q270" s="197"/>
      <c r="R270" s="197"/>
      <c r="S270" s="197"/>
      <c r="T270" s="197"/>
      <c r="U270" s="145"/>
      <c r="V270" s="27"/>
      <c r="W270" s="179"/>
      <c r="X270" s="179"/>
      <c r="Y270" s="179"/>
      <c r="Z270" s="179"/>
      <c r="AA270" s="179"/>
      <c r="AB270" s="179"/>
      <c r="AC270" s="179"/>
      <c r="AD270" s="179"/>
      <c r="AE270" s="179"/>
      <c r="AF270" s="179"/>
      <c r="AG270" s="179"/>
    </row>
    <row r="271" spans="2:33" hidden="1" x14ac:dyDescent="0.2">
      <c r="B271" s="25"/>
      <c r="C271" s="208" t="s">
        <v>316</v>
      </c>
      <c r="E271" s="158"/>
      <c r="G271" s="158"/>
      <c r="H271" s="158"/>
      <c r="I271" s="158"/>
      <c r="J271" s="145"/>
      <c r="K271" s="145"/>
      <c r="L271" s="27"/>
      <c r="O271" s="110"/>
      <c r="P271" s="198" t="s">
        <v>303</v>
      </c>
      <c r="Q271" s="192"/>
      <c r="R271" s="192"/>
      <c r="S271" s="192"/>
      <c r="T271" s="192"/>
      <c r="U271" s="232"/>
      <c r="V271" s="27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179"/>
    </row>
    <row r="272" spans="2:33" hidden="1" x14ac:dyDescent="0.2">
      <c r="B272" s="25"/>
      <c r="C272" s="215"/>
      <c r="D272" s="215"/>
      <c r="E272" s="226"/>
      <c r="G272" s="158"/>
      <c r="H272" s="158"/>
      <c r="I272" s="158"/>
      <c r="J272" s="27"/>
      <c r="K272" s="27"/>
      <c r="L272" s="27"/>
      <c r="O272" s="110"/>
      <c r="P272" s="193"/>
      <c r="Q272" s="193"/>
      <c r="R272" s="193"/>
      <c r="S272" s="193"/>
      <c r="T272" s="193"/>
      <c r="U272" s="193"/>
      <c r="V272" s="27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</row>
    <row r="273" spans="2:33" hidden="1" x14ac:dyDescent="0.2">
      <c r="B273" s="25"/>
      <c r="C273" s="227" t="b">
        <v>1</v>
      </c>
      <c r="D273" s="226">
        <f>IF(C273=TRUE,1,0)</f>
        <v>1</v>
      </c>
      <c r="E273" s="226" t="s">
        <v>314</v>
      </c>
      <c r="G273" s="158"/>
      <c r="H273" s="158"/>
      <c r="I273" s="158"/>
      <c r="J273" s="27"/>
      <c r="K273" s="27"/>
      <c r="L273" s="27"/>
      <c r="O273" s="191" t="s">
        <v>291</v>
      </c>
      <c r="P273" s="233">
        <f t="shared" ref="P273:P281" si="28">IF(R323=1,($E$251/100)*20,0)</f>
        <v>8.1999999999999993</v>
      </c>
      <c r="Q273" s="233">
        <f t="shared" ref="Q273:Q281" si="29">IF(S323=1,($E$251/100)*40,0)</f>
        <v>0</v>
      </c>
      <c r="R273" s="233">
        <f t="shared" ref="R273:R281" si="30">IF(T323=1,($E$251/100)*40,0)</f>
        <v>0</v>
      </c>
      <c r="S273" s="233">
        <f>SUM(P273:R273)</f>
        <v>8.1999999999999993</v>
      </c>
      <c r="T273" s="234">
        <f>S273</f>
        <v>8.1999999999999993</v>
      </c>
      <c r="U273" s="235">
        <f t="shared" ref="U273:U281" si="31">IF(SUM(G285-T273)&gt;0,SUM(G285-T273),0)</f>
        <v>24.599999999999998</v>
      </c>
      <c r="V273" s="27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</row>
    <row r="274" spans="2:33" hidden="1" x14ac:dyDescent="0.2">
      <c r="B274" s="25"/>
      <c r="C274" s="226"/>
      <c r="D274" s="226"/>
      <c r="E274" s="226"/>
      <c r="G274" s="158"/>
      <c r="H274" s="158"/>
      <c r="I274" s="158"/>
      <c r="J274" s="27"/>
      <c r="K274" s="27"/>
      <c r="L274" s="27"/>
      <c r="O274" s="191" t="s">
        <v>292</v>
      </c>
      <c r="P274" s="233">
        <f t="shared" si="28"/>
        <v>8.1999999999999993</v>
      </c>
      <c r="Q274" s="233">
        <f t="shared" si="29"/>
        <v>0</v>
      </c>
      <c r="R274" s="233">
        <f t="shared" si="30"/>
        <v>0</v>
      </c>
      <c r="S274" s="233">
        <f t="shared" ref="S274:S281" si="32">SUM(P274:R274)</f>
        <v>8.1999999999999993</v>
      </c>
      <c r="T274" s="234">
        <f t="shared" ref="T274:T281" si="33">S274</f>
        <v>8.1999999999999993</v>
      </c>
      <c r="U274" s="235">
        <f t="shared" si="31"/>
        <v>32.799999999999997</v>
      </c>
      <c r="V274" s="27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</row>
    <row r="275" spans="2:33" hidden="1" x14ac:dyDescent="0.2">
      <c r="B275" s="25"/>
      <c r="C275" s="227" t="b">
        <v>0</v>
      </c>
      <c r="D275" s="226">
        <f>IF(C275=TRUE,0,1)</f>
        <v>1</v>
      </c>
      <c r="E275" s="226" t="s">
        <v>340</v>
      </c>
      <c r="G275" s="158"/>
      <c r="H275" s="158"/>
      <c r="I275" s="158"/>
      <c r="J275" s="27"/>
      <c r="K275" s="27"/>
      <c r="L275" s="27"/>
      <c r="O275" s="191" t="s">
        <v>293</v>
      </c>
      <c r="P275" s="233">
        <f t="shared" si="28"/>
        <v>8.1999999999999993</v>
      </c>
      <c r="Q275" s="233">
        <f t="shared" si="29"/>
        <v>0</v>
      </c>
      <c r="R275" s="233">
        <f t="shared" si="30"/>
        <v>0</v>
      </c>
      <c r="S275" s="233">
        <f t="shared" si="32"/>
        <v>8.1999999999999993</v>
      </c>
      <c r="T275" s="234">
        <f t="shared" si="33"/>
        <v>8.1999999999999993</v>
      </c>
      <c r="U275" s="235">
        <f t="shared" si="31"/>
        <v>32.799999999999997</v>
      </c>
      <c r="V275" s="27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</row>
    <row r="276" spans="2:33" hidden="1" x14ac:dyDescent="0.2">
      <c r="B276" s="25"/>
      <c r="G276" s="158"/>
      <c r="H276" s="158"/>
      <c r="I276" s="158"/>
      <c r="J276" s="27"/>
      <c r="K276" s="27"/>
      <c r="L276" s="27"/>
      <c r="O276" s="191" t="s">
        <v>294</v>
      </c>
      <c r="P276" s="233">
        <f t="shared" si="28"/>
        <v>8.1999999999999993</v>
      </c>
      <c r="Q276" s="233">
        <f t="shared" si="29"/>
        <v>0</v>
      </c>
      <c r="R276" s="233">
        <f t="shared" si="30"/>
        <v>0</v>
      </c>
      <c r="S276" s="233">
        <f t="shared" si="32"/>
        <v>8.1999999999999993</v>
      </c>
      <c r="T276" s="234">
        <f t="shared" si="33"/>
        <v>8.1999999999999993</v>
      </c>
      <c r="U276" s="235">
        <f t="shared" si="31"/>
        <v>32.799999999999997</v>
      </c>
      <c r="V276" s="27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</row>
    <row r="277" spans="2:33" hidden="1" x14ac:dyDescent="0.2">
      <c r="B277" s="25"/>
      <c r="C277" s="453" t="s">
        <v>290</v>
      </c>
      <c r="D277" s="453"/>
      <c r="E277" s="453"/>
      <c r="F277" s="452" t="s">
        <v>300</v>
      </c>
      <c r="G277" s="452"/>
      <c r="H277" s="195">
        <v>0.5</v>
      </c>
      <c r="I277" s="260">
        <v>0.25</v>
      </c>
      <c r="J277" s="261">
        <v>1</v>
      </c>
      <c r="K277" s="260">
        <v>0.25</v>
      </c>
      <c r="L277" s="27"/>
      <c r="O277" s="191" t="s">
        <v>295</v>
      </c>
      <c r="P277" s="233">
        <f t="shared" si="28"/>
        <v>8.1999999999999993</v>
      </c>
      <c r="Q277" s="233">
        <f t="shared" si="29"/>
        <v>0</v>
      </c>
      <c r="R277" s="233">
        <f t="shared" si="30"/>
        <v>0</v>
      </c>
      <c r="S277" s="233">
        <f t="shared" si="32"/>
        <v>8.1999999999999993</v>
      </c>
      <c r="T277" s="234">
        <f t="shared" si="33"/>
        <v>8.1999999999999993</v>
      </c>
      <c r="U277" s="235">
        <f t="shared" si="31"/>
        <v>32.799999999999997</v>
      </c>
      <c r="V277" s="27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</row>
    <row r="278" spans="2:33" hidden="1" x14ac:dyDescent="0.2">
      <c r="B278" s="25"/>
      <c r="C278" s="453"/>
      <c r="D278" s="453"/>
      <c r="E278" s="453"/>
      <c r="F278" s="452"/>
      <c r="G278" s="452"/>
      <c r="H278" s="195">
        <v>0.33333333333333331</v>
      </c>
      <c r="I278" s="260">
        <v>0.33333333333333331</v>
      </c>
      <c r="J278" s="262">
        <v>0.33333333333333331</v>
      </c>
      <c r="K278" s="260">
        <v>0.33333333333333331</v>
      </c>
      <c r="L278" s="27"/>
      <c r="O278" s="191" t="s">
        <v>296</v>
      </c>
      <c r="P278" s="233">
        <f t="shared" si="28"/>
        <v>8.1999999999999993</v>
      </c>
      <c r="Q278" s="233">
        <f t="shared" si="29"/>
        <v>0</v>
      </c>
      <c r="R278" s="233">
        <f t="shared" si="30"/>
        <v>0</v>
      </c>
      <c r="S278" s="233">
        <f t="shared" si="32"/>
        <v>8.1999999999999993</v>
      </c>
      <c r="T278" s="234">
        <f t="shared" si="33"/>
        <v>8.1999999999999993</v>
      </c>
      <c r="U278" s="235">
        <f t="shared" si="31"/>
        <v>32.799999999999997</v>
      </c>
      <c r="V278" s="27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</row>
    <row r="279" spans="2:33" hidden="1" x14ac:dyDescent="0.2">
      <c r="B279" s="25"/>
      <c r="C279" s="453"/>
      <c r="D279" s="453"/>
      <c r="E279" s="453"/>
      <c r="F279" s="452"/>
      <c r="G279" s="452"/>
      <c r="H279" s="195">
        <v>0.25</v>
      </c>
      <c r="I279" s="260">
        <v>0.5</v>
      </c>
      <c r="J279" s="262">
        <v>0.58333333333333337</v>
      </c>
      <c r="K279" s="260">
        <v>0.5</v>
      </c>
      <c r="L279" s="27"/>
      <c r="O279" s="191" t="s">
        <v>297</v>
      </c>
      <c r="P279" s="233">
        <f t="shared" si="28"/>
        <v>8.1999999999999993</v>
      </c>
      <c r="Q279" s="233">
        <f t="shared" si="29"/>
        <v>0</v>
      </c>
      <c r="R279" s="233">
        <f t="shared" si="30"/>
        <v>0</v>
      </c>
      <c r="S279" s="233">
        <f t="shared" si="32"/>
        <v>8.1999999999999993</v>
      </c>
      <c r="T279" s="234">
        <f t="shared" si="33"/>
        <v>8.1999999999999993</v>
      </c>
      <c r="U279" s="235">
        <f t="shared" si="31"/>
        <v>32.799999999999997</v>
      </c>
      <c r="V279" s="27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</row>
    <row r="280" spans="2:33" hidden="1" x14ac:dyDescent="0.2">
      <c r="B280" s="25"/>
      <c r="C280" s="453"/>
      <c r="D280" s="453"/>
      <c r="E280" s="453"/>
      <c r="F280" s="452"/>
      <c r="G280" s="452"/>
      <c r="H280" s="192"/>
      <c r="I280" s="254"/>
      <c r="J280" s="254"/>
      <c r="K280" s="261">
        <v>1</v>
      </c>
      <c r="L280" s="27"/>
      <c r="O280" s="191" t="s">
        <v>298</v>
      </c>
      <c r="P280" s="237">
        <f t="shared" si="28"/>
        <v>8.1999999999999993</v>
      </c>
      <c r="Q280" s="237">
        <f t="shared" si="29"/>
        <v>0</v>
      </c>
      <c r="R280" s="237">
        <f t="shared" si="30"/>
        <v>0</v>
      </c>
      <c r="S280" s="237">
        <f t="shared" si="32"/>
        <v>8.1999999999999993</v>
      </c>
      <c r="T280" s="238">
        <f t="shared" si="33"/>
        <v>8.1999999999999993</v>
      </c>
      <c r="U280" s="239">
        <f>IF(SUM(G292-T280)&gt;0,SUM(G292-T280),0)</f>
        <v>32.799999999999997</v>
      </c>
      <c r="V280" s="27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</row>
    <row r="281" spans="2:33" hidden="1" x14ac:dyDescent="0.2">
      <c r="B281" s="25"/>
      <c r="J281" s="27"/>
      <c r="K281" s="27"/>
      <c r="L281" s="27"/>
      <c r="O281" s="191" t="s">
        <v>299</v>
      </c>
      <c r="P281" s="233">
        <f t="shared" si="28"/>
        <v>8.1999999999999993</v>
      </c>
      <c r="Q281" s="233">
        <f t="shared" si="29"/>
        <v>0</v>
      </c>
      <c r="R281" s="233">
        <f t="shared" si="30"/>
        <v>0</v>
      </c>
      <c r="S281" s="233">
        <f t="shared" si="32"/>
        <v>8.1999999999999993</v>
      </c>
      <c r="T281" s="234">
        <f t="shared" si="33"/>
        <v>8.1999999999999993</v>
      </c>
      <c r="U281" s="235">
        <f t="shared" si="31"/>
        <v>24.599999999999998</v>
      </c>
      <c r="V281" s="27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</row>
    <row r="282" spans="2:33" hidden="1" x14ac:dyDescent="0.2">
      <c r="B282" s="25"/>
      <c r="C282" s="188"/>
      <c r="D282" s="188"/>
      <c r="E282" s="194">
        <v>1</v>
      </c>
      <c r="F282" s="253">
        <v>2</v>
      </c>
      <c r="G282" s="253">
        <v>3</v>
      </c>
      <c r="H282" s="253">
        <v>4</v>
      </c>
      <c r="I282" s="253">
        <v>5</v>
      </c>
      <c r="J282" s="253">
        <v>6</v>
      </c>
      <c r="K282" s="193"/>
      <c r="L282" s="27"/>
      <c r="O282" s="27"/>
      <c r="P282" s="27"/>
      <c r="Q282" s="197"/>
      <c r="R282" s="197"/>
      <c r="S282" s="197"/>
      <c r="T282" s="197"/>
      <c r="U282" s="145"/>
      <c r="V282" s="27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</row>
    <row r="283" spans="2:33" hidden="1" x14ac:dyDescent="0.2">
      <c r="B283" s="25"/>
      <c r="C283" s="188"/>
      <c r="D283" s="188"/>
      <c r="E283" s="265" t="s">
        <v>96</v>
      </c>
      <c r="F283" s="273" t="s">
        <v>97</v>
      </c>
      <c r="G283" s="273" t="s">
        <v>91</v>
      </c>
      <c r="H283" s="273" t="s">
        <v>98</v>
      </c>
      <c r="I283" s="273" t="s">
        <v>99</v>
      </c>
      <c r="J283" s="273" t="s">
        <v>289</v>
      </c>
      <c r="K283" s="193"/>
      <c r="L283" s="27"/>
      <c r="O283" s="110"/>
      <c r="P283" s="193"/>
      <c r="Q283" s="193"/>
      <c r="R283" s="193"/>
      <c r="S283" s="193"/>
      <c r="T283" s="193"/>
      <c r="U283" s="193"/>
      <c r="V283" s="27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</row>
    <row r="284" spans="2:33" ht="18.75" hidden="1" customHeight="1" x14ac:dyDescent="0.2">
      <c r="B284" s="25"/>
      <c r="C284" s="188"/>
      <c r="D284" s="193"/>
      <c r="E284" s="193"/>
      <c r="F284" s="254"/>
      <c r="G284" s="254"/>
      <c r="H284" s="254"/>
      <c r="I284" s="254"/>
      <c r="J284" s="254"/>
      <c r="K284" s="193"/>
      <c r="L284" s="27"/>
      <c r="O284" s="110"/>
      <c r="P284" s="189" t="s">
        <v>305</v>
      </c>
      <c r="Q284" s="193"/>
      <c r="R284" s="193"/>
      <c r="S284" s="193"/>
      <c r="T284" s="193"/>
      <c r="U284" s="193"/>
      <c r="V284" s="27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</row>
    <row r="285" spans="2:33" ht="18.75" hidden="1" customHeight="1" x14ac:dyDescent="0.2">
      <c r="B285" s="25"/>
      <c r="C285" s="188"/>
      <c r="D285" s="188" t="s">
        <v>291</v>
      </c>
      <c r="E285" s="192">
        <f t="shared" ref="E285:E293" si="34">IF(T309&gt;$H$277,15,IF(T309&gt;$H$278,7.5,IF(T309&gt;$H$279,4.5,0)))</f>
        <v>15</v>
      </c>
      <c r="F285" s="254">
        <f t="shared" ref="F285:F293" si="35">IF(T309&gt;$I$279,21.5,IF(T309&gt;$I$278,11,IF(T309&gt;$I$277,6.5,0)))</f>
        <v>21.5</v>
      </c>
      <c r="G285" s="255">
        <f>IF(T309&gt;=$J$279,$G$263,IF(T309&gt;=$J$278,$G$262,0))</f>
        <v>32.799999999999997</v>
      </c>
      <c r="H285" s="255">
        <f>IF(T309&gt;K279,21.5,IF(T309&gt;K278,11,IF(T309&gt;K277,6.5,0)))</f>
        <v>21.5</v>
      </c>
      <c r="I285" s="256">
        <f t="shared" ref="I285:I293" si="36">H285</f>
        <v>21.5</v>
      </c>
      <c r="J285" s="256">
        <f>G285</f>
        <v>32.799999999999997</v>
      </c>
      <c r="K285" s="193"/>
      <c r="L285" s="27"/>
      <c r="O285" s="191" t="s">
        <v>291</v>
      </c>
      <c r="P285" s="242">
        <f t="shared" ref="P285:P293" si="37">IF(R323=1,4.3,0)</f>
        <v>4.3</v>
      </c>
      <c r="Q285" s="242">
        <f t="shared" ref="Q285:Q293" si="38">IF(S323=1,8.6,0)</f>
        <v>0</v>
      </c>
      <c r="R285" s="242">
        <f t="shared" ref="R285:R293" si="39">IF(T323=1,8.6,0)</f>
        <v>0</v>
      </c>
      <c r="S285" s="243">
        <f t="shared" ref="S285:S293" si="40">SUM(P285:R285)</f>
        <v>4.3</v>
      </c>
      <c r="T285" s="236">
        <f t="shared" ref="T285:T293" si="41">S285</f>
        <v>4.3</v>
      </c>
      <c r="U285" s="232">
        <f t="shared" ref="U285:U293" si="42">IF(SUM(F285-T285)&gt;0,SUM(F285-T285),0)</f>
        <v>17.2</v>
      </c>
      <c r="V285" s="27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</row>
    <row r="286" spans="2:33" ht="18.75" hidden="1" customHeight="1" x14ac:dyDescent="0.2">
      <c r="B286" s="25"/>
      <c r="C286" s="188"/>
      <c r="D286" s="188" t="s">
        <v>292</v>
      </c>
      <c r="E286" s="192">
        <f t="shared" si="34"/>
        <v>15</v>
      </c>
      <c r="F286" s="254">
        <f t="shared" si="35"/>
        <v>21.5</v>
      </c>
      <c r="G286" s="255">
        <f>IF(T310=$J$277,E251,IF(T310&gt;=$J$279,$G$263,IF(T310&gt;=$J$278,$G$262,0)))</f>
        <v>41</v>
      </c>
      <c r="H286" s="255">
        <f t="shared" ref="H286:H291" si="43">IF(T310=$K$280,IF(T310&gt;$K$279,17.2,IF(T310&gt;$K$278,8.8,IF(T310&gt;$K$277,5.2,0))),IF(T310&gt;$K$279,21.5,IF(T310&gt;$K$278,11,IF(T310&gt;$K$277,6.5,0))))</f>
        <v>17.2</v>
      </c>
      <c r="I286" s="256">
        <f t="shared" si="36"/>
        <v>17.2</v>
      </c>
      <c r="J286" s="256">
        <f t="shared" ref="J286:J293" si="44">G286</f>
        <v>41</v>
      </c>
      <c r="K286" s="193"/>
      <c r="L286" s="27"/>
      <c r="O286" s="191" t="s">
        <v>292</v>
      </c>
      <c r="P286" s="242">
        <f t="shared" si="37"/>
        <v>4.3</v>
      </c>
      <c r="Q286" s="242">
        <f t="shared" si="38"/>
        <v>0</v>
      </c>
      <c r="R286" s="242">
        <f t="shared" si="39"/>
        <v>0</v>
      </c>
      <c r="S286" s="243">
        <f t="shared" si="40"/>
        <v>4.3</v>
      </c>
      <c r="T286" s="236">
        <f t="shared" si="41"/>
        <v>4.3</v>
      </c>
      <c r="U286" s="232">
        <f t="shared" si="42"/>
        <v>17.2</v>
      </c>
      <c r="V286" s="27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</row>
    <row r="287" spans="2:33" ht="18.75" hidden="1" customHeight="1" x14ac:dyDescent="0.2">
      <c r="B287" s="25"/>
      <c r="C287" s="188"/>
      <c r="D287" s="188" t="s">
        <v>293</v>
      </c>
      <c r="E287" s="192">
        <f t="shared" si="34"/>
        <v>15</v>
      </c>
      <c r="F287" s="254">
        <f t="shared" si="35"/>
        <v>21.5</v>
      </c>
      <c r="G287" s="255">
        <f>IF(T311=$J$277,E251,IF(T311&gt;=$J$279,$G$263,IF(T311&gt;=$J$278,$G$262,0)))</f>
        <v>41</v>
      </c>
      <c r="H287" s="255">
        <f t="shared" si="43"/>
        <v>17.2</v>
      </c>
      <c r="I287" s="256">
        <f t="shared" si="36"/>
        <v>17.2</v>
      </c>
      <c r="J287" s="256">
        <f t="shared" si="44"/>
        <v>41</v>
      </c>
      <c r="K287" s="193"/>
      <c r="L287" s="27"/>
      <c r="O287" s="191" t="s">
        <v>293</v>
      </c>
      <c r="P287" s="242">
        <f t="shared" si="37"/>
        <v>4.3</v>
      </c>
      <c r="Q287" s="242">
        <f t="shared" si="38"/>
        <v>0</v>
      </c>
      <c r="R287" s="242">
        <f t="shared" si="39"/>
        <v>0</v>
      </c>
      <c r="S287" s="243">
        <f t="shared" si="40"/>
        <v>4.3</v>
      </c>
      <c r="T287" s="236">
        <f t="shared" si="41"/>
        <v>4.3</v>
      </c>
      <c r="U287" s="232">
        <f t="shared" si="42"/>
        <v>17.2</v>
      </c>
      <c r="V287" s="27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9"/>
      <c r="AG287" s="179"/>
    </row>
    <row r="288" spans="2:33" ht="18.75" hidden="1" customHeight="1" x14ac:dyDescent="0.2">
      <c r="B288" s="25"/>
      <c r="C288" s="188"/>
      <c r="D288" s="188" t="s">
        <v>294</v>
      </c>
      <c r="E288" s="192">
        <f t="shared" si="34"/>
        <v>15</v>
      </c>
      <c r="F288" s="254">
        <f t="shared" si="35"/>
        <v>21.5</v>
      </c>
      <c r="G288" s="255">
        <f>IF(T312=$J$277,E251,IF(T312&gt;=$J$279,$G$263,IF(T312&gt;=$J$278,$G$262,0)))</f>
        <v>41</v>
      </c>
      <c r="H288" s="255">
        <f t="shared" si="43"/>
        <v>17.2</v>
      </c>
      <c r="I288" s="256">
        <f t="shared" si="36"/>
        <v>17.2</v>
      </c>
      <c r="J288" s="256">
        <f t="shared" si="44"/>
        <v>41</v>
      </c>
      <c r="K288" s="193"/>
      <c r="L288" s="27"/>
      <c r="O288" s="191" t="s">
        <v>294</v>
      </c>
      <c r="P288" s="242">
        <f t="shared" si="37"/>
        <v>4.3</v>
      </c>
      <c r="Q288" s="242">
        <f t="shared" si="38"/>
        <v>0</v>
      </c>
      <c r="R288" s="242">
        <f t="shared" si="39"/>
        <v>0</v>
      </c>
      <c r="S288" s="243">
        <f t="shared" si="40"/>
        <v>4.3</v>
      </c>
      <c r="T288" s="236">
        <f t="shared" si="41"/>
        <v>4.3</v>
      </c>
      <c r="U288" s="232">
        <f t="shared" si="42"/>
        <v>17.2</v>
      </c>
      <c r="V288" s="27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</row>
    <row r="289" spans="2:33" ht="18.75" hidden="1" customHeight="1" x14ac:dyDescent="0.2">
      <c r="B289" s="25"/>
      <c r="C289" s="188"/>
      <c r="D289" s="188" t="s">
        <v>295</v>
      </c>
      <c r="E289" s="192">
        <f t="shared" si="34"/>
        <v>15</v>
      </c>
      <c r="F289" s="254">
        <f t="shared" si="35"/>
        <v>21.5</v>
      </c>
      <c r="G289" s="255">
        <f>IF(T313=$J$277,E251,IF(T313&gt;=$J$279,$G$263,IF(T313&gt;=$J$278,$G$262,0)))</f>
        <v>41</v>
      </c>
      <c r="H289" s="255">
        <f t="shared" si="43"/>
        <v>17.2</v>
      </c>
      <c r="I289" s="256">
        <f t="shared" si="36"/>
        <v>17.2</v>
      </c>
      <c r="J289" s="256">
        <f t="shared" si="44"/>
        <v>41</v>
      </c>
      <c r="K289" s="193"/>
      <c r="L289" s="27"/>
      <c r="O289" s="191" t="s">
        <v>295</v>
      </c>
      <c r="P289" s="242">
        <f t="shared" si="37"/>
        <v>4.3</v>
      </c>
      <c r="Q289" s="242">
        <f t="shared" si="38"/>
        <v>0</v>
      </c>
      <c r="R289" s="242">
        <f t="shared" si="39"/>
        <v>0</v>
      </c>
      <c r="S289" s="243">
        <f t="shared" si="40"/>
        <v>4.3</v>
      </c>
      <c r="T289" s="236">
        <f t="shared" si="41"/>
        <v>4.3</v>
      </c>
      <c r="U289" s="232">
        <f t="shared" si="42"/>
        <v>17.2</v>
      </c>
      <c r="V289" s="27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</row>
    <row r="290" spans="2:33" ht="18.75" hidden="1" customHeight="1" x14ac:dyDescent="0.2">
      <c r="B290" s="25"/>
      <c r="C290" s="188"/>
      <c r="D290" s="188" t="s">
        <v>296</v>
      </c>
      <c r="E290" s="192">
        <f t="shared" si="34"/>
        <v>15</v>
      </c>
      <c r="F290" s="254">
        <f t="shared" si="35"/>
        <v>21.5</v>
      </c>
      <c r="G290" s="255">
        <f>IF(T314=$J$277,E251,IF(T314&gt;=$J$279,$G$263,IF(T314&gt;=$J$278,$G$262,0)))</f>
        <v>41</v>
      </c>
      <c r="H290" s="255">
        <f t="shared" si="43"/>
        <v>17.2</v>
      </c>
      <c r="I290" s="256">
        <f t="shared" si="36"/>
        <v>17.2</v>
      </c>
      <c r="J290" s="256">
        <f t="shared" si="44"/>
        <v>41</v>
      </c>
      <c r="K290" s="193"/>
      <c r="L290" s="27"/>
      <c r="O290" s="191" t="s">
        <v>296</v>
      </c>
      <c r="P290" s="242">
        <f t="shared" si="37"/>
        <v>4.3</v>
      </c>
      <c r="Q290" s="242">
        <f t="shared" si="38"/>
        <v>0</v>
      </c>
      <c r="R290" s="242">
        <f t="shared" si="39"/>
        <v>0</v>
      </c>
      <c r="S290" s="243">
        <f t="shared" si="40"/>
        <v>4.3</v>
      </c>
      <c r="T290" s="236">
        <f t="shared" si="41"/>
        <v>4.3</v>
      </c>
      <c r="U290" s="232">
        <f t="shared" si="42"/>
        <v>17.2</v>
      </c>
      <c r="V290" s="27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</row>
    <row r="291" spans="2:33" ht="18.75" hidden="1" customHeight="1" x14ac:dyDescent="0.2">
      <c r="B291" s="25"/>
      <c r="C291" s="188"/>
      <c r="D291" s="188" t="s">
        <v>297</v>
      </c>
      <c r="E291" s="192">
        <f t="shared" si="34"/>
        <v>15</v>
      </c>
      <c r="F291" s="254">
        <f t="shared" si="35"/>
        <v>21.5</v>
      </c>
      <c r="G291" s="255">
        <f>IF(T315=$J$277,E251,IF(T315&gt;=$J$279,$G$263,IF(T315&gt;=$J$278,$G$262,0)))</f>
        <v>41</v>
      </c>
      <c r="H291" s="255">
        <f t="shared" si="43"/>
        <v>17.2</v>
      </c>
      <c r="I291" s="256">
        <f t="shared" si="36"/>
        <v>17.2</v>
      </c>
      <c r="J291" s="256">
        <f t="shared" si="44"/>
        <v>41</v>
      </c>
      <c r="K291" s="193"/>
      <c r="L291" s="27"/>
      <c r="O291" s="191" t="s">
        <v>297</v>
      </c>
      <c r="P291" s="242">
        <f t="shared" si="37"/>
        <v>4.3</v>
      </c>
      <c r="Q291" s="242">
        <f t="shared" si="38"/>
        <v>0</v>
      </c>
      <c r="R291" s="242">
        <f t="shared" si="39"/>
        <v>0</v>
      </c>
      <c r="S291" s="242">
        <f t="shared" si="40"/>
        <v>4.3</v>
      </c>
      <c r="T291" s="236">
        <f t="shared" si="41"/>
        <v>4.3</v>
      </c>
      <c r="U291" s="232">
        <f t="shared" si="42"/>
        <v>17.2</v>
      </c>
      <c r="V291" s="27"/>
      <c r="X291" s="179"/>
      <c r="Y291" s="179"/>
      <c r="Z291" s="179"/>
      <c r="AA291" s="179"/>
      <c r="AB291" s="179"/>
      <c r="AC291" s="179"/>
      <c r="AD291" s="179"/>
      <c r="AE291" s="179"/>
      <c r="AF291" s="179"/>
      <c r="AG291" s="179"/>
    </row>
    <row r="292" spans="2:33" ht="18.75" hidden="1" customHeight="1" x14ac:dyDescent="0.2">
      <c r="B292" s="25"/>
      <c r="C292" s="188"/>
      <c r="D292" s="188" t="s">
        <v>298</v>
      </c>
      <c r="E292" s="226">
        <f t="shared" si="34"/>
        <v>15</v>
      </c>
      <c r="F292" s="257">
        <f t="shared" si="35"/>
        <v>21.5</v>
      </c>
      <c r="G292" s="258">
        <f>IF(T316&gt;=$J$277,E251,IF(T316&gt;=$J$279,$G$263,IF(T316&gt;=$J$278,$G$262,0)))</f>
        <v>41</v>
      </c>
      <c r="H292" s="258">
        <f>IF(T316&gt;=$K$280,IF(T316&gt;$K$279,17.2,IF(T316&gt;$K$278,8.8,IF(T316&gt;$K$277,5.2,0))),IF(T316&gt;$K$279,21.5,IF(T316&gt;$K$278,11,IF(T316&gt;$K$277,6.5,0))))</f>
        <v>17.2</v>
      </c>
      <c r="I292" s="259">
        <f t="shared" si="36"/>
        <v>17.2</v>
      </c>
      <c r="J292" s="259">
        <f>G292</f>
        <v>41</v>
      </c>
      <c r="K292" s="193"/>
      <c r="L292" s="27"/>
      <c r="O292" s="191" t="s">
        <v>298</v>
      </c>
      <c r="P292" s="244">
        <f t="shared" si="37"/>
        <v>4.3</v>
      </c>
      <c r="Q292" s="244">
        <f t="shared" si="38"/>
        <v>0</v>
      </c>
      <c r="R292" s="244">
        <f t="shared" si="39"/>
        <v>0</v>
      </c>
      <c r="S292" s="244">
        <f>SUM(P292:R292)</f>
        <v>4.3</v>
      </c>
      <c r="T292" s="241">
        <f>S292</f>
        <v>4.3</v>
      </c>
      <c r="U292" s="232">
        <f t="shared" si="42"/>
        <v>17.2</v>
      </c>
      <c r="V292" s="27"/>
      <c r="X292" s="179"/>
      <c r="AE292" s="179"/>
      <c r="AF292" s="179"/>
      <c r="AG292" s="179"/>
    </row>
    <row r="293" spans="2:33" ht="18.75" hidden="1" customHeight="1" x14ac:dyDescent="0.2">
      <c r="B293" s="25"/>
      <c r="C293" s="188"/>
      <c r="D293" s="188" t="s">
        <v>299</v>
      </c>
      <c r="E293" s="192">
        <f t="shared" si="34"/>
        <v>15</v>
      </c>
      <c r="F293" s="254">
        <f t="shared" si="35"/>
        <v>21.5</v>
      </c>
      <c r="G293" s="255">
        <f>IF(T317=$J$277,E251,IF(T317&gt;=$J$279,$G$263,IF(T317&gt;=$J$278,$G$262,0)))</f>
        <v>32.799999999999997</v>
      </c>
      <c r="H293" s="255">
        <f>IF(T317=$K$280,IF(T317&gt;$K$279,17.2,IF(T317&gt;$K$278,8.8,IF(T317&gt;$K$277,5.2,0))),IF(T317&gt;$K$279,21.5,IF(T317&gt;$K$278,11,IF(T317&gt;$K$277,6.5,0))))</f>
        <v>21.5</v>
      </c>
      <c r="I293" s="256">
        <f t="shared" si="36"/>
        <v>21.5</v>
      </c>
      <c r="J293" s="256">
        <f t="shared" si="44"/>
        <v>32.799999999999997</v>
      </c>
      <c r="K293" s="193"/>
      <c r="L293" s="27"/>
      <c r="O293" s="191" t="s">
        <v>299</v>
      </c>
      <c r="P293" s="242">
        <f t="shared" si="37"/>
        <v>4.3</v>
      </c>
      <c r="Q293" s="242">
        <f t="shared" si="38"/>
        <v>0</v>
      </c>
      <c r="R293" s="242">
        <f t="shared" si="39"/>
        <v>0</v>
      </c>
      <c r="S293" s="242">
        <f t="shared" si="40"/>
        <v>4.3</v>
      </c>
      <c r="T293" s="236">
        <f t="shared" si="41"/>
        <v>4.3</v>
      </c>
      <c r="U293" s="232">
        <f t="shared" si="42"/>
        <v>17.2</v>
      </c>
      <c r="V293" s="27"/>
      <c r="X293" s="179"/>
      <c r="AE293" s="179"/>
      <c r="AF293" s="179"/>
      <c r="AG293" s="179"/>
    </row>
    <row r="294" spans="2:33" ht="18.75" hidden="1" customHeight="1" x14ac:dyDescent="0.2">
      <c r="B294" s="25"/>
      <c r="C294" s="188"/>
      <c r="D294" s="188"/>
      <c r="E294" s="192"/>
      <c r="F294" s="254"/>
      <c r="G294" s="255"/>
      <c r="H294" s="255"/>
      <c r="I294" s="254"/>
      <c r="J294" s="254"/>
      <c r="K294" s="193"/>
      <c r="L294" s="27"/>
      <c r="O294" s="187"/>
      <c r="P294" s="197"/>
      <c r="Q294" s="197"/>
      <c r="R294" s="197"/>
      <c r="S294" s="197"/>
      <c r="T294" s="197"/>
      <c r="U294" s="197"/>
      <c r="V294" s="27"/>
      <c r="X294" s="179"/>
      <c r="AE294" s="179"/>
      <c r="AF294" s="179"/>
      <c r="AG294" s="179"/>
    </row>
    <row r="295" spans="2:33" ht="18.75" hidden="1" customHeight="1" x14ac:dyDescent="0.2">
      <c r="B295" s="25"/>
      <c r="C295" s="202"/>
      <c r="D295" s="202"/>
      <c r="E295" s="192"/>
      <c r="F295" s="254"/>
      <c r="G295" s="255"/>
      <c r="H295" s="255"/>
      <c r="I295" s="254"/>
      <c r="J295" s="254"/>
      <c r="K295" s="193"/>
      <c r="L295" s="27"/>
      <c r="O295" s="279"/>
      <c r="P295" s="357" t="s">
        <v>338</v>
      </c>
      <c r="Q295" s="358"/>
      <c r="R295" s="358"/>
      <c r="S295" s="279"/>
      <c r="T295" s="279"/>
      <c r="U295" s="279"/>
      <c r="V295" s="27"/>
      <c r="X295" s="179"/>
      <c r="AE295" s="179"/>
      <c r="AF295" s="179"/>
      <c r="AG295" s="179"/>
    </row>
    <row r="296" spans="2:33" ht="18.75" hidden="1" customHeight="1" x14ac:dyDescent="0.2">
      <c r="B296" s="25"/>
      <c r="G296" s="158"/>
      <c r="H296" s="158"/>
      <c r="I296" s="158"/>
      <c r="J296" s="27"/>
      <c r="K296" s="27"/>
      <c r="L296" s="27"/>
      <c r="O296" s="300" t="s">
        <v>351</v>
      </c>
      <c r="P296" s="277">
        <f>IF(R330=1,P301*0.15,0)</f>
        <v>3.0749999999999997</v>
      </c>
      <c r="Q296" s="277">
        <f>IF(S330=1,P301*0.25,0)</f>
        <v>0</v>
      </c>
      <c r="R296" s="277">
        <f>IF(T330=1,P301*0.25,0)</f>
        <v>0</v>
      </c>
      <c r="S296" s="294">
        <f>IF(D275=0,P301*0.35,0)</f>
        <v>0</v>
      </c>
      <c r="T296" s="361">
        <f>SUM(P296:S296)</f>
        <v>3.0749999999999997</v>
      </c>
      <c r="U296" s="339">
        <f>IF(SUM(P301-T296)&gt;0,SUM(P301-T296),0)</f>
        <v>17.425000000000001</v>
      </c>
      <c r="V296" s="362">
        <f>ROUND(U296,2)</f>
        <v>17.43</v>
      </c>
      <c r="X296" s="179"/>
      <c r="AE296" s="179"/>
      <c r="AF296" s="179"/>
      <c r="AG296" s="179"/>
    </row>
    <row r="297" spans="2:33" ht="18.75" hidden="1" customHeight="1" x14ac:dyDescent="0.2">
      <c r="B297" s="25"/>
      <c r="C297" s="475" t="s">
        <v>319</v>
      </c>
      <c r="D297" s="475"/>
      <c r="E297" s="476"/>
      <c r="F297" s="271" t="s">
        <v>97</v>
      </c>
      <c r="G297" s="271" t="s">
        <v>91</v>
      </c>
      <c r="H297" s="271" t="s">
        <v>98</v>
      </c>
      <c r="I297" s="271" t="s">
        <v>99</v>
      </c>
      <c r="J297" s="271" t="s">
        <v>289</v>
      </c>
      <c r="K297" s="204"/>
      <c r="L297" s="27"/>
      <c r="O297" s="300" t="s">
        <v>352</v>
      </c>
      <c r="P297" s="277">
        <f>IF(R330=1,P302*0.15,0)</f>
        <v>3.375</v>
      </c>
      <c r="Q297" s="296">
        <f>IF(S330=1,P302*0.25,0)</f>
        <v>0</v>
      </c>
      <c r="R297" s="296">
        <f>IF(T330=1,P302*0.25,0)</f>
        <v>0</v>
      </c>
      <c r="S297" s="192">
        <f>IF(D275=0,P302*0.35,0)</f>
        <v>0</v>
      </c>
      <c r="T297" s="361">
        <f>SUM(P297:S297)</f>
        <v>3.375</v>
      </c>
      <c r="U297" s="339">
        <f>IF(SUM(P302-T297)&gt;0,SUM(P302-T297),0)</f>
        <v>19.125</v>
      </c>
      <c r="V297" s="279">
        <f>ROUND(U297,2)</f>
        <v>19.13</v>
      </c>
      <c r="X297" s="179"/>
      <c r="AE297" s="179"/>
      <c r="AF297" s="179"/>
      <c r="AG297" s="179"/>
    </row>
    <row r="298" spans="2:33" ht="18.75" hidden="1" customHeight="1" x14ac:dyDescent="0.2">
      <c r="B298" s="25"/>
      <c r="C298" s="281" t="s">
        <v>328</v>
      </c>
      <c r="D298" s="282">
        <f>C256</f>
        <v>30</v>
      </c>
      <c r="E298" s="226" t="s">
        <v>321</v>
      </c>
      <c r="F298" s="365">
        <f>U292</f>
        <v>17.2</v>
      </c>
      <c r="G298" s="284">
        <f>U280</f>
        <v>32.799999999999997</v>
      </c>
      <c r="H298" s="284">
        <f>U268</f>
        <v>13.76</v>
      </c>
      <c r="I298" s="284">
        <f>H298</f>
        <v>13.76</v>
      </c>
      <c r="J298" s="284">
        <f>G298</f>
        <v>32.799999999999997</v>
      </c>
      <c r="K298" s="204"/>
      <c r="L298" s="27"/>
      <c r="O298" s="300" t="s">
        <v>361</v>
      </c>
      <c r="P298" s="277">
        <f>IF(R330=1,P303*0.2,0)</f>
        <v>6.15</v>
      </c>
      <c r="Q298" s="296">
        <f>IF(S330=1,P303*0.4,0)</f>
        <v>0</v>
      </c>
      <c r="R298" s="296">
        <f>IF(T330=1,P303*0.4,0)</f>
        <v>0</v>
      </c>
      <c r="S298" s="192"/>
      <c r="T298" s="193">
        <f>SUM(P298:S298)</f>
        <v>6.15</v>
      </c>
      <c r="U298" s="339">
        <f>P303-T298</f>
        <v>24.6</v>
      </c>
      <c r="V298" s="279">
        <f>ROUND(U298,2)</f>
        <v>24.6</v>
      </c>
      <c r="X298" s="179"/>
      <c r="AE298" s="179"/>
      <c r="AF298" s="179"/>
      <c r="AG298" s="179"/>
    </row>
    <row r="299" spans="2:33" ht="18.75" hidden="1" customHeight="1" x14ac:dyDescent="0.2">
      <c r="B299" s="25"/>
      <c r="C299" s="266" t="s">
        <v>301</v>
      </c>
      <c r="D299" s="267">
        <f>C256-8</f>
        <v>22</v>
      </c>
      <c r="E299" s="295" t="s">
        <v>334</v>
      </c>
      <c r="F299" s="272">
        <f>F292*$D$300</f>
        <v>172</v>
      </c>
      <c r="G299" s="272">
        <f>G292*$D$300</f>
        <v>328</v>
      </c>
      <c r="H299" s="272">
        <f>H292*$D$300</f>
        <v>137.6</v>
      </c>
      <c r="I299" s="272">
        <f>I292*$D$300</f>
        <v>137.6</v>
      </c>
      <c r="J299" s="272">
        <f>J292*$D$300</f>
        <v>328</v>
      </c>
      <c r="K299" s="215"/>
      <c r="L299" s="27"/>
      <c r="O299" s="300" t="s">
        <v>362</v>
      </c>
      <c r="P299" s="277"/>
      <c r="Q299" s="296"/>
      <c r="R299" s="296"/>
      <c r="S299" s="192"/>
      <c r="T299" s="193"/>
      <c r="V299" s="279">
        <f>P304</f>
        <v>22.5</v>
      </c>
      <c r="AE299" s="179"/>
      <c r="AF299" s="179"/>
      <c r="AG299" s="179"/>
    </row>
    <row r="300" spans="2:33" ht="18.75" hidden="1" customHeight="1" x14ac:dyDescent="0.2">
      <c r="B300" s="25"/>
      <c r="C300" s="209" t="s">
        <v>329</v>
      </c>
      <c r="D300" s="283">
        <f>IF(D299&gt;8,8,D299)</f>
        <v>8</v>
      </c>
      <c r="E300" s="215" t="s">
        <v>322</v>
      </c>
      <c r="F300" s="284">
        <f>F298*$D$300</f>
        <v>137.6</v>
      </c>
      <c r="G300" s="284">
        <f>G298*$D$300</f>
        <v>262.39999999999998</v>
      </c>
      <c r="H300" s="284">
        <f>H298*$D$300</f>
        <v>110.08</v>
      </c>
      <c r="I300" s="284">
        <f>I298*$D$300</f>
        <v>110.08</v>
      </c>
      <c r="J300" s="284">
        <f>J298*$D$300</f>
        <v>262.39999999999998</v>
      </c>
      <c r="K300" s="209" t="s">
        <v>324</v>
      </c>
      <c r="L300" s="27"/>
      <c r="N300" s="372" t="s">
        <v>325</v>
      </c>
      <c r="O300" s="187"/>
      <c r="P300" s="197" t="s">
        <v>355</v>
      </c>
      <c r="Q300" s="359" t="s">
        <v>356</v>
      </c>
      <c r="R300" s="197" t="s">
        <v>357</v>
      </c>
      <c r="S300" s="197" t="s">
        <v>358</v>
      </c>
      <c r="T300" s="197" t="s">
        <v>367</v>
      </c>
      <c r="U300" s="197" t="s">
        <v>370</v>
      </c>
      <c r="V300" s="197" t="s">
        <v>369</v>
      </c>
      <c r="X300" s="179"/>
      <c r="AE300" s="179"/>
      <c r="AF300" s="179"/>
      <c r="AG300" s="179"/>
    </row>
    <row r="301" spans="2:33" ht="18.75" hidden="1" customHeight="1" x14ac:dyDescent="0.2">
      <c r="B301" s="25"/>
      <c r="C301" s="223" t="s">
        <v>302</v>
      </c>
      <c r="D301" s="269">
        <f>D299*K280</f>
        <v>22</v>
      </c>
      <c r="E301" s="215"/>
      <c r="F301" s="263"/>
      <c r="G301" s="263"/>
      <c r="H301" s="264"/>
      <c r="I301" s="257"/>
      <c r="J301" s="257"/>
      <c r="K301" s="215"/>
      <c r="L301" s="27"/>
      <c r="O301" s="300" t="s">
        <v>349</v>
      </c>
      <c r="P301" s="279">
        <f>E251*0.5</f>
        <v>20.5</v>
      </c>
      <c r="Q301" s="279"/>
      <c r="R301" s="279"/>
      <c r="S301" s="279"/>
      <c r="T301" s="279"/>
      <c r="U301" s="279"/>
      <c r="V301" s="27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</row>
    <row r="302" spans="2:33" ht="18.75" hidden="1" customHeight="1" x14ac:dyDescent="0.2">
      <c r="B302" s="25"/>
      <c r="C302" s="223" t="s">
        <v>320</v>
      </c>
      <c r="D302" s="268"/>
      <c r="E302" s="215" t="s">
        <v>323</v>
      </c>
      <c r="F302" s="285">
        <f>IF(C260=2,F300,IF(C260=3,G300,IF(C260=4,H300,IF(C260=5,I300,IF(C260=6,J300,0)))))</f>
        <v>262.39999999999998</v>
      </c>
      <c r="G302" s="250"/>
      <c r="H302" s="249"/>
      <c r="I302" s="226"/>
      <c r="J302" s="226"/>
      <c r="K302" s="215"/>
      <c r="L302" s="27"/>
      <c r="O302" s="300" t="s">
        <v>350</v>
      </c>
      <c r="P302" s="279">
        <f>IF(D323&lt;D322,D323,E253/2)</f>
        <v>22.5</v>
      </c>
      <c r="Q302" s="279"/>
      <c r="R302" s="279"/>
      <c r="S302" s="279"/>
      <c r="T302" s="279"/>
      <c r="U302" s="279"/>
      <c r="V302" s="27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</row>
    <row r="303" spans="2:33" ht="18.75" hidden="1" customHeight="1" x14ac:dyDescent="0.2">
      <c r="B303" s="25"/>
      <c r="C303" s="223" t="s">
        <v>326</v>
      </c>
      <c r="D303" s="270" t="str">
        <f>D299&amp;" Tage"</f>
        <v>22 Tage</v>
      </c>
      <c r="E303" s="207" t="s">
        <v>335</v>
      </c>
      <c r="F303" s="301">
        <f>IF(C260=2,F299,IF(C260=3,G299,IF(C260=4,H299,IF(C260=5,I299,IF(C260=6,J299,0)))))</f>
        <v>328</v>
      </c>
      <c r="G303" s="225"/>
      <c r="H303" s="224"/>
      <c r="I303" s="205"/>
      <c r="J303" s="205"/>
      <c r="K303" s="204"/>
      <c r="L303" s="27"/>
      <c r="O303" s="300" t="s">
        <v>347</v>
      </c>
      <c r="P303" s="193">
        <f>E251*0.75</f>
        <v>30.75</v>
      </c>
      <c r="Q303" s="279"/>
      <c r="R303" s="279"/>
      <c r="S303" s="279"/>
      <c r="T303" s="279"/>
      <c r="U303" s="279"/>
      <c r="V303" s="27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</row>
    <row r="304" spans="2:33" ht="18.75" hidden="1" customHeight="1" x14ac:dyDescent="0.2">
      <c r="B304" s="25"/>
      <c r="G304" s="158"/>
      <c r="H304" s="158"/>
      <c r="I304" s="158"/>
      <c r="J304" s="27"/>
      <c r="K304" s="27"/>
      <c r="L304" s="27"/>
      <c r="O304" s="300" t="s">
        <v>363</v>
      </c>
      <c r="P304" s="279">
        <f>IF(D323&lt;D322,IF(H355=0,H354*0.75,H355),D322)</f>
        <v>22.5</v>
      </c>
      <c r="Q304" s="279"/>
      <c r="R304" s="298"/>
      <c r="S304" s="360"/>
      <c r="T304" s="299"/>
      <c r="U304" s="278"/>
      <c r="V304" s="27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</row>
    <row r="305" spans="2:33" ht="18.75" hidden="1" customHeight="1" x14ac:dyDescent="0.2">
      <c r="B305" s="25"/>
      <c r="C305" s="189" t="s">
        <v>360</v>
      </c>
      <c r="D305" s="279"/>
      <c r="E305" s="279"/>
      <c r="F305" s="273" t="s">
        <v>97</v>
      </c>
      <c r="G305" s="273" t="s">
        <v>91</v>
      </c>
      <c r="H305" s="273" t="s">
        <v>98</v>
      </c>
      <c r="I305" s="273" t="s">
        <v>99</v>
      </c>
      <c r="J305" s="273" t="s">
        <v>289</v>
      </c>
      <c r="K305" s="190"/>
      <c r="L305" s="27"/>
      <c r="V305" s="145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</row>
    <row r="306" spans="2:33" ht="18.75" hidden="1" customHeight="1" x14ac:dyDescent="0.2">
      <c r="B306" s="25"/>
      <c r="C306" s="279"/>
      <c r="D306" s="279"/>
      <c r="E306" s="192" t="s">
        <v>304</v>
      </c>
      <c r="F306" s="302">
        <f>V296</f>
        <v>17.43</v>
      </c>
      <c r="G306" s="284">
        <f>V298</f>
        <v>24.6</v>
      </c>
      <c r="H306" s="290">
        <f>F306</f>
        <v>17.43</v>
      </c>
      <c r="I306" s="290">
        <f t="shared" ref="I306:J308" si="45">F306</f>
        <v>17.43</v>
      </c>
      <c r="J306" s="290">
        <f t="shared" si="45"/>
        <v>24.6</v>
      </c>
      <c r="K306" s="279"/>
      <c r="L306" s="27"/>
      <c r="O306" s="145"/>
      <c r="P306" s="145"/>
      <c r="Q306" s="145"/>
      <c r="R306" s="145"/>
      <c r="S306" s="145"/>
      <c r="T306" s="145"/>
      <c r="U306" s="145"/>
      <c r="V306" s="145"/>
      <c r="X306" s="179"/>
      <c r="Y306" s="179"/>
      <c r="Z306" s="179"/>
      <c r="AA306" s="179"/>
      <c r="AB306" s="179"/>
      <c r="AC306" s="179"/>
      <c r="AD306" s="179"/>
      <c r="AE306" s="179"/>
      <c r="AF306" s="179"/>
      <c r="AG306" s="179"/>
    </row>
    <row r="307" spans="2:33" ht="18.75" hidden="1" customHeight="1" x14ac:dyDescent="0.2">
      <c r="B307" s="25"/>
      <c r="C307" s="279" t="s">
        <v>330</v>
      </c>
      <c r="D307" s="288">
        <f>IF(D298-16&gt;0,D298-16,0)</f>
        <v>14</v>
      </c>
      <c r="E307" s="279" t="s">
        <v>334</v>
      </c>
      <c r="F307" s="302">
        <f>(P301)*$D$307</f>
        <v>287</v>
      </c>
      <c r="G307" s="288">
        <f>G292*$D$307</f>
        <v>574</v>
      </c>
      <c r="H307" s="288">
        <f>F307</f>
        <v>287</v>
      </c>
      <c r="I307" s="288">
        <f t="shared" si="45"/>
        <v>287</v>
      </c>
      <c r="J307" s="288">
        <f t="shared" si="45"/>
        <v>574</v>
      </c>
      <c r="K307" s="289"/>
      <c r="L307" s="27"/>
      <c r="O307" s="413" t="s">
        <v>21</v>
      </c>
      <c r="P307" s="414"/>
      <c r="Q307" s="414"/>
      <c r="R307" s="414"/>
      <c r="S307" s="414"/>
      <c r="T307" s="414"/>
      <c r="U307" s="415"/>
      <c r="V307" s="145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</row>
    <row r="308" spans="2:33" ht="18.75" hidden="1" customHeight="1" x14ac:dyDescent="0.2">
      <c r="B308" s="25"/>
      <c r="C308" s="279" t="s">
        <v>326</v>
      </c>
      <c r="D308" s="279"/>
      <c r="E308" s="193" t="s">
        <v>322</v>
      </c>
      <c r="F308" s="303">
        <f>($D$307*F306)</f>
        <v>244.01999999999998</v>
      </c>
      <c r="G308" s="291">
        <f>($D$307*V298)</f>
        <v>344.40000000000003</v>
      </c>
      <c r="H308" s="291">
        <f>F308</f>
        <v>244.01999999999998</v>
      </c>
      <c r="I308" s="291">
        <f t="shared" si="45"/>
        <v>244.01999999999998</v>
      </c>
      <c r="J308" s="291">
        <f>G308</f>
        <v>344.40000000000003</v>
      </c>
      <c r="K308" s="189" t="s">
        <v>324</v>
      </c>
      <c r="L308" s="27"/>
      <c r="N308" s="372" t="s">
        <v>325</v>
      </c>
      <c r="O308" s="477" t="s">
        <v>17</v>
      </c>
      <c r="P308" s="478"/>
      <c r="Q308" s="479"/>
      <c r="R308" s="323" t="s">
        <v>18</v>
      </c>
      <c r="S308" s="323" t="s">
        <v>19</v>
      </c>
      <c r="T308" s="323" t="s">
        <v>20</v>
      </c>
      <c r="U308" s="324" t="s">
        <v>21</v>
      </c>
      <c r="V308" s="325" t="s">
        <v>25</v>
      </c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</row>
    <row r="309" spans="2:33" ht="18.75" hidden="1" customHeight="1" x14ac:dyDescent="0.2">
      <c r="B309" s="25"/>
      <c r="C309" s="279" t="s">
        <v>327</v>
      </c>
      <c r="D309" s="279"/>
      <c r="E309" s="279"/>
      <c r="F309" s="304"/>
      <c r="G309" s="279"/>
      <c r="H309" s="279"/>
      <c r="I309" s="279"/>
      <c r="J309" s="280"/>
      <c r="K309" s="190"/>
      <c r="L309" s="27"/>
      <c r="O309" s="410">
        <f>IF(H17=0,"-",H17)</f>
        <v>43830</v>
      </c>
      <c r="P309" s="411"/>
      <c r="Q309" s="412"/>
      <c r="R309" s="326">
        <f>H18</f>
        <v>0.25</v>
      </c>
      <c r="S309" s="327" t="str">
        <f>IF(I17=0,I18,IF($C$256=1,$I$18,"24:00:00"))</f>
        <v>24:00:00</v>
      </c>
      <c r="T309" s="328">
        <f>IF(R310=0,"-",SUM(S309-R309))</f>
        <v>0.75</v>
      </c>
      <c r="U309" s="329">
        <f>IF($C$260=1,E285,IF($C$260=2,F285,IF($C$260=3,G285,IF($C$260=4,H285,IF($C$260=5,I285,IF($C$260=6,G285,X))))))</f>
        <v>32.799999999999997</v>
      </c>
      <c r="V309" s="330">
        <f t="shared" ref="V309:V315" si="46">IF(O309="-","-",IF($C$260=1,U250,IF($C$260=2,U285,IF($C$260=3,U273,IF($C$260=4,U261,(IF($C$260=5,U261,(IF($C$260=6,U273,"-")))))))))</f>
        <v>24.599999999999998</v>
      </c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</row>
    <row r="310" spans="2:33" ht="18.75" hidden="1" customHeight="1" x14ac:dyDescent="0.2">
      <c r="B310" s="25"/>
      <c r="C310" s="279"/>
      <c r="D310" s="279"/>
      <c r="E310" s="193" t="s">
        <v>323</v>
      </c>
      <c r="F310" s="366">
        <f>IF(C260=2,F308,IF(C260=3,G308,IF(C260=4,H308,IF(C260=5,I308,IF(C260=6,J308,0)))))</f>
        <v>344.40000000000003</v>
      </c>
      <c r="G310" s="279"/>
      <c r="H310" s="193" t="s">
        <v>336</v>
      </c>
      <c r="I310" s="363">
        <f>(SUM(F302+F310))</f>
        <v>606.79999999999995</v>
      </c>
      <c r="J310" s="280"/>
      <c r="K310" s="190"/>
      <c r="L310" s="27"/>
      <c r="O310" s="410">
        <f>IF($C$256&gt;1,$H$17+1,"-")</f>
        <v>43831</v>
      </c>
      <c r="P310" s="411"/>
      <c r="Q310" s="412"/>
      <c r="R310" s="331" t="str">
        <f>IF($C$256&lt;2,"-","00:00:00")</f>
        <v>00:00:00</v>
      </c>
      <c r="S310" s="327" t="str">
        <f>IF($C$256&lt;2,"-",IF($C$256=2,$I$18,"24:00:00"))</f>
        <v>24:00:00</v>
      </c>
      <c r="T310" s="328">
        <f>IF(R310="-","-",SUM(S310-R310))</f>
        <v>1</v>
      </c>
      <c r="U310" s="329">
        <f>IF($C$260=1,"-",IF($C$260=2,F286,IF($C$260=3,G286,IF($C$260=4,H286,IF($C$260=5,I286,IF($C$260=6,G286,X))))))</f>
        <v>41</v>
      </c>
      <c r="V310" s="330">
        <f t="shared" si="46"/>
        <v>32.799999999999997</v>
      </c>
      <c r="X310" s="179"/>
      <c r="Y310" s="179"/>
      <c r="Z310" s="179"/>
      <c r="AA310" s="179"/>
      <c r="AB310" s="179"/>
      <c r="AC310" s="179"/>
      <c r="AD310" s="179"/>
      <c r="AE310" s="179"/>
      <c r="AF310" s="179"/>
      <c r="AG310" s="179"/>
    </row>
    <row r="311" spans="2:33" ht="18.75" hidden="1" customHeight="1" x14ac:dyDescent="0.2">
      <c r="B311" s="25"/>
      <c r="C311" s="279"/>
      <c r="D311" s="279"/>
      <c r="E311" s="279" t="s">
        <v>335</v>
      </c>
      <c r="F311" s="305">
        <f>IF(C260=2,F307,IF(C260=3,G307,IF(C260=4,H307,IF(C260=5,I307,IF(C260=6,J307,0)))))</f>
        <v>574</v>
      </c>
      <c r="G311" s="279"/>
      <c r="H311" s="193" t="s">
        <v>337</v>
      </c>
      <c r="I311" s="363">
        <f>F311+F303</f>
        <v>902</v>
      </c>
      <c r="J311" s="280"/>
      <c r="K311" s="190"/>
      <c r="L311" s="27"/>
      <c r="O311" s="410">
        <f>IF($C$256&gt;2,$H$17+2,"-")</f>
        <v>43832</v>
      </c>
      <c r="P311" s="411"/>
      <c r="Q311" s="412"/>
      <c r="R311" s="331" t="str">
        <f>IF($C$256&lt;3,"-","00:00:00")</f>
        <v>00:00:00</v>
      </c>
      <c r="S311" s="327" t="str">
        <f>IF($C$256&lt;3,"-",IF($C$256=3,$I$18,"24:00:00"))</f>
        <v>24:00:00</v>
      </c>
      <c r="T311" s="328">
        <f t="shared" ref="T311:T317" si="47">IF(R311="-","-",SUM(S311-R311))</f>
        <v>1</v>
      </c>
      <c r="U311" s="329">
        <f>IF($C$260=1,"-",IF($C$260=2,F287,IF($C$260=3,G287,IF($C$260=4,H287,IF($C$260=5,I287,IF($C$260=6,G287,X))))))</f>
        <v>41</v>
      </c>
      <c r="V311" s="330">
        <f t="shared" si="46"/>
        <v>32.799999999999997</v>
      </c>
      <c r="X311" s="179"/>
      <c r="Y311" s="179"/>
      <c r="Z311" s="179"/>
      <c r="AA311" s="179"/>
      <c r="AB311" s="179"/>
      <c r="AC311" s="179"/>
      <c r="AD311" s="179"/>
      <c r="AE311" s="179"/>
      <c r="AF311" s="179"/>
      <c r="AG311" s="179"/>
    </row>
    <row r="312" spans="2:33" ht="18.75" hidden="1" customHeight="1" x14ac:dyDescent="0.2">
      <c r="B312" s="187"/>
      <c r="C312" s="279"/>
      <c r="D312" s="279"/>
      <c r="E312" s="279"/>
      <c r="F312" s="305"/>
      <c r="G312" s="279"/>
      <c r="H312" s="193"/>
      <c r="I312" s="292"/>
      <c r="J312" s="280"/>
      <c r="K312" s="190"/>
      <c r="L312" s="27"/>
      <c r="M312" s="373"/>
      <c r="O312" s="410">
        <f>IF($C$256&gt;3,$H$17+3,"-")</f>
        <v>43833</v>
      </c>
      <c r="P312" s="411"/>
      <c r="Q312" s="412"/>
      <c r="R312" s="331" t="str">
        <f>IF($C$256&lt;4,"-","00:00:00")</f>
        <v>00:00:00</v>
      </c>
      <c r="S312" s="327" t="str">
        <f>IF($C$256&lt;4,"-",IF($C$256=4,$I$18,"24:00:00"))</f>
        <v>24:00:00</v>
      </c>
      <c r="T312" s="328">
        <f t="shared" si="47"/>
        <v>1</v>
      </c>
      <c r="U312" s="329">
        <f>IF($C$260=1,"-",IF($C$260=2,F288,IF($C$260=3,G288,IF($C$260=4,H288,IF($C$260=5,I288,IF($C$260=6,G288,X))))))</f>
        <v>41</v>
      </c>
      <c r="V312" s="330">
        <f t="shared" si="46"/>
        <v>32.799999999999997</v>
      </c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</row>
    <row r="313" spans="2:33" ht="18.75" hidden="1" customHeight="1" x14ac:dyDescent="0.2">
      <c r="B313" s="187"/>
      <c r="G313" s="158"/>
      <c r="H313" s="158"/>
      <c r="I313" s="158"/>
      <c r="J313" s="27"/>
      <c r="K313" s="27"/>
      <c r="L313" s="27"/>
      <c r="O313" s="410">
        <f>IF($C$256&gt;4,$H$17+4,"-")</f>
        <v>43834</v>
      </c>
      <c r="P313" s="411"/>
      <c r="Q313" s="412"/>
      <c r="R313" s="331" t="str">
        <f>IF($C$256&lt;5,"-","00:00:00")</f>
        <v>00:00:00</v>
      </c>
      <c r="S313" s="327" t="str">
        <f>IF($C$256&lt;5,"-",IF($C$256=5,$I$18,"24:00:00"))</f>
        <v>24:00:00</v>
      </c>
      <c r="T313" s="328">
        <f>IF(R313="-","-",SUM(S313-R313))</f>
        <v>1</v>
      </c>
      <c r="U313" s="329">
        <f>IF($C$260=1,"-",IF($C$260=2,F289,IF($C$260=3,G289,IF($C$260=4,H289,IF($C$260=5,I289,IF($C$260=6,G289,X))))))</f>
        <v>41</v>
      </c>
      <c r="V313" s="330">
        <f t="shared" si="46"/>
        <v>32.799999999999997</v>
      </c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</row>
    <row r="314" spans="2:33" ht="18.75" hidden="1" customHeight="1" x14ac:dyDescent="0.2">
      <c r="B314" s="187"/>
      <c r="C314" s="297" t="s">
        <v>346</v>
      </c>
      <c r="D314" s="215"/>
      <c r="E314" s="215"/>
      <c r="F314" s="215"/>
      <c r="G314" s="286"/>
      <c r="H314" s="215"/>
      <c r="I314" s="215"/>
      <c r="J314" s="226"/>
      <c r="K314" s="215"/>
      <c r="L314" s="27"/>
      <c r="O314" s="410">
        <f>IF($C$256&gt;5,$H$17+5,"-")</f>
        <v>43835</v>
      </c>
      <c r="P314" s="411"/>
      <c r="Q314" s="412"/>
      <c r="R314" s="331" t="str">
        <f>IF($C$256&lt;6,"-","00:00:00")</f>
        <v>00:00:00</v>
      </c>
      <c r="S314" s="327" t="str">
        <f>IF($C$256&lt;6,"-",IF($C$256=6,$I$18,"24:00:00"))</f>
        <v>24:00:00</v>
      </c>
      <c r="T314" s="328">
        <f t="shared" si="47"/>
        <v>1</v>
      </c>
      <c r="U314" s="329">
        <f>IF($C$260=1,"-",IF($C$260=2,F290,IF($C$260=3,G290,IF($C$260=4,H290,IF($C$260=5,I290,IF($C$260=6,G290,X))))))</f>
        <v>41</v>
      </c>
      <c r="V314" s="330">
        <f t="shared" si="46"/>
        <v>32.799999999999997</v>
      </c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</row>
    <row r="315" spans="2:33" ht="18.75" hidden="1" customHeight="1" x14ac:dyDescent="0.2">
      <c r="B315" s="187"/>
      <c r="C315" s="209" t="s">
        <v>364</v>
      </c>
      <c r="D315" s="226">
        <f>IF(J356=0,U320,J356)</f>
        <v>29</v>
      </c>
      <c r="E315" s="297" t="s">
        <v>333</v>
      </c>
      <c r="F315" s="286">
        <f>IF(D275=1,IF(C260=1,0,IF(D275=0,0,SUM(D318*D316))),0)</f>
        <v>450</v>
      </c>
      <c r="G315" s="215"/>
      <c r="H315" s="215" t="s">
        <v>342</v>
      </c>
      <c r="I315" s="215"/>
      <c r="J315" s="226"/>
      <c r="K315" s="215"/>
      <c r="L315" s="27"/>
      <c r="O315" s="410">
        <f>IF($C$256&gt;6,$H$17+6,"-")</f>
        <v>43836</v>
      </c>
      <c r="P315" s="411"/>
      <c r="Q315" s="412"/>
      <c r="R315" s="331" t="str">
        <f>IF($C$256&lt;7,"-","00:00:00")</f>
        <v>00:00:00</v>
      </c>
      <c r="S315" s="327" t="str">
        <f>IF($C$256&lt;7,"-",IF($C$256=7,$I$18,"24:00:00"))</f>
        <v>24:00:00</v>
      </c>
      <c r="T315" s="328">
        <f t="shared" si="47"/>
        <v>1</v>
      </c>
      <c r="U315" s="329">
        <f>IF($C$260=1,"-",IF($C$260=2,F291,IF($C$260=3,G291,IF($C$260=4,H291,IF($C$260=5,I291,IF($C$260=6,G291,X))))))</f>
        <v>41</v>
      </c>
      <c r="V315" s="330">
        <f t="shared" si="46"/>
        <v>32.799999999999997</v>
      </c>
      <c r="X315" s="179"/>
      <c r="Y315" s="179"/>
      <c r="Z315" s="179"/>
      <c r="AA315" s="179"/>
    </row>
    <row r="316" spans="2:33" ht="18.75" hidden="1" customHeight="1" x14ac:dyDescent="0.2">
      <c r="B316" s="187"/>
      <c r="C316" s="209" t="s">
        <v>365</v>
      </c>
      <c r="D316" s="215">
        <f>IF(D315&gt;15,15,D315)</f>
        <v>15</v>
      </c>
      <c r="E316" s="209"/>
      <c r="F316" s="207"/>
      <c r="G316" s="215"/>
      <c r="H316" s="249"/>
      <c r="I316" s="226"/>
      <c r="J316" s="226"/>
      <c r="K316" s="215"/>
      <c r="L316" s="27"/>
      <c r="O316" s="410" t="str">
        <f>IF($C$256&gt;9,"bis Rückkehr",IF($C$256&gt;7,$H$17+7,"-"))</f>
        <v>bis Rückkehr</v>
      </c>
      <c r="P316" s="411"/>
      <c r="Q316" s="412"/>
      <c r="R316" s="331" t="str">
        <f>IF($C$256&gt;9,D303,IF($C$256&lt;8,"-","00:00:00"))</f>
        <v>22 Tage</v>
      </c>
      <c r="S316" s="327" t="str">
        <f>IF(D307&gt;0,C309,IF($C$256&gt;9," ",IF($C$256&lt;8,"-",IF($C$256=8,$I$18,"24:00:00"))))</f>
        <v>Sonderfall!</v>
      </c>
      <c r="T316" s="328">
        <f>IF(C256&gt;9,D301,IF(R316="-","-",SUM(S316-R316)))</f>
        <v>22</v>
      </c>
      <c r="U316" s="329">
        <f>IF(I311&gt;0,I311,IF($C$260=1,"-",IF($C$260=2,F292,IF($C$260=3,G292,IF($C$260=4,H292,IF($C$260=5,I292,IF($C$260=6,G292,X)))))))</f>
        <v>902</v>
      </c>
      <c r="V316" s="364">
        <f>IF(I310&gt;0,I310,IF(O316="-","-",IF($C$260=1,U257,IF($C$260=2,U292,IF($C$260=3,U280,IF($C$260=4,U268,(IF($C$260=5,U268,(IF($C$260=6,U280,"-"))))))))))</f>
        <v>606.79999999999995</v>
      </c>
      <c r="X316" s="179"/>
      <c r="Y316" s="179"/>
      <c r="Z316" s="179"/>
      <c r="AA316" s="179"/>
    </row>
    <row r="317" spans="2:33" ht="18.75" hidden="1" customHeight="1" x14ac:dyDescent="0.2">
      <c r="B317" s="187"/>
      <c r="C317" s="209" t="s">
        <v>366</v>
      </c>
      <c r="D317" s="215">
        <f>IF(U320-15&gt;0,U320-15,0)</f>
        <v>14</v>
      </c>
      <c r="E317" s="209"/>
      <c r="F317" s="250" t="s">
        <v>325</v>
      </c>
      <c r="G317" s="286"/>
      <c r="H317" s="287"/>
      <c r="I317" s="287"/>
      <c r="J317" s="287"/>
      <c r="K317" s="215"/>
      <c r="L317" s="27"/>
      <c r="O317" s="410">
        <f>IF(C256&gt;8,I17,"-")</f>
        <v>43859</v>
      </c>
      <c r="P317" s="411"/>
      <c r="Q317" s="412"/>
      <c r="R317" s="331" t="str">
        <f>IF($C$256&lt;9,"-","00:00:00")</f>
        <v>00:00:00</v>
      </c>
      <c r="S317" s="327">
        <f>IF($C$256&lt;9,"-",IF($C$256&gt;8,$I$18,"24:00:00"))</f>
        <v>0.75</v>
      </c>
      <c r="T317" s="328">
        <f t="shared" si="47"/>
        <v>0.75</v>
      </c>
      <c r="U317" s="329">
        <f>IF($C$260=1,"-",IF($C$260=2,F293,IF($C$260=3,G293,IF($C$260=4,H293,IF($C$260=5,I293,IF($C$260=6,G293,X))))))</f>
        <v>32.799999999999997</v>
      </c>
      <c r="V317" s="330">
        <f>IF(O317="-","-",IF($C$260=1,U257,IF($C$260=2,U293,IF($C$260=3,U281,IF($C$260=4,U269,(IF($C$260=5,U269,(IF($C$260=6,U281,"-")))))))))</f>
        <v>24.599999999999998</v>
      </c>
      <c r="X317" s="179"/>
      <c r="Y317" s="179"/>
      <c r="Z317" s="179"/>
      <c r="AA317" s="179"/>
    </row>
    <row r="318" spans="2:33" hidden="1" x14ac:dyDescent="0.2">
      <c r="B318" s="187"/>
      <c r="C318" s="209" t="s">
        <v>332</v>
      </c>
      <c r="D318" s="226">
        <f>IF(H355=0,H354,H355)</f>
        <v>30</v>
      </c>
      <c r="E318" s="209"/>
      <c r="F318" s="250"/>
      <c r="G318" s="250"/>
      <c r="H318" s="249"/>
      <c r="I318" s="226"/>
      <c r="J318" s="226"/>
      <c r="K318" s="215"/>
      <c r="L318" s="27"/>
      <c r="O318" s="332"/>
      <c r="P318" s="333"/>
      <c r="Q318" s="333"/>
      <c r="R318" s="333"/>
      <c r="S318" s="333"/>
      <c r="T318" s="333"/>
      <c r="U318" s="333"/>
      <c r="V318" s="334">
        <f>IF(L367=H315,"- - -",IF(SUM(V309:V317)&gt;0,SUM(V309:V317),0))</f>
        <v>852.8</v>
      </c>
      <c r="X318" s="179"/>
      <c r="Y318" s="179"/>
      <c r="Z318" s="179"/>
      <c r="AA318" s="179"/>
    </row>
    <row r="319" spans="2:33" hidden="1" x14ac:dyDescent="0.2">
      <c r="B319" s="187"/>
      <c r="C319" s="186"/>
      <c r="D319" s="186"/>
      <c r="E319" s="186"/>
      <c r="O319" s="145"/>
      <c r="P319" s="145"/>
      <c r="Q319" s="145"/>
      <c r="R319" s="27"/>
      <c r="S319" s="145"/>
      <c r="T319" s="145"/>
      <c r="U319" s="187"/>
      <c r="V319" s="145"/>
      <c r="X319" s="179"/>
      <c r="Y319" s="179"/>
      <c r="Z319" s="179"/>
      <c r="AA319" s="179"/>
    </row>
    <row r="320" spans="2:33" hidden="1" x14ac:dyDescent="0.2">
      <c r="B320" s="187"/>
      <c r="C320" s="297" t="s">
        <v>359</v>
      </c>
      <c r="D320" s="215"/>
      <c r="E320" s="215"/>
      <c r="F320" s="215"/>
      <c r="G320" s="286"/>
      <c r="H320" s="215"/>
      <c r="I320" s="215"/>
      <c r="J320" s="226"/>
      <c r="K320" s="215"/>
      <c r="O320" s="335" t="s">
        <v>106</v>
      </c>
      <c r="P320" s="336"/>
      <c r="Q320" s="336"/>
      <c r="R320" s="337">
        <f>IF(C260=5,14.8,IF(C260=4,4,IF(C260=1,0,IF(C260=3,IF(E253&gt;60,30,E253/2),IF(C260=6,IF(E253&gt;60,30,E253/2),18.5)))))</f>
        <v>30</v>
      </c>
      <c r="S320" s="219"/>
      <c r="T320" s="320" t="s">
        <v>107</v>
      </c>
      <c r="U320" s="338">
        <f>IF(C260=1,0,IF(J356&gt;0,J356,C258))</f>
        <v>29</v>
      </c>
      <c r="V320" s="250"/>
      <c r="X320" s="179"/>
      <c r="Y320" s="179"/>
      <c r="Z320" s="179"/>
      <c r="AA320" s="179"/>
    </row>
    <row r="321" spans="2:73" hidden="1" x14ac:dyDescent="0.2">
      <c r="C321" s="209" t="s">
        <v>331</v>
      </c>
      <c r="D321" s="226">
        <f>D317</f>
        <v>14</v>
      </c>
      <c r="E321" s="209"/>
      <c r="F321" s="226"/>
      <c r="G321" s="215"/>
      <c r="H321" s="215" t="s">
        <v>353</v>
      </c>
      <c r="I321" s="215">
        <f>IF(C260=2,V297,IF(D275=0,0,V299))</f>
        <v>22.5</v>
      </c>
      <c r="J321" s="226"/>
      <c r="K321" s="215"/>
      <c r="O321" s="145"/>
      <c r="P321" s="145"/>
      <c r="Q321" s="27"/>
      <c r="R321" s="27"/>
      <c r="S321" s="27"/>
      <c r="T321" s="27"/>
      <c r="U321" s="27"/>
      <c r="V321" s="27"/>
      <c r="X321" s="179"/>
      <c r="Y321" s="179"/>
      <c r="Z321" s="179"/>
      <c r="AA321" s="179"/>
    </row>
    <row r="322" spans="2:73" hidden="1" x14ac:dyDescent="0.2">
      <c r="C322" s="209" t="s">
        <v>348</v>
      </c>
      <c r="D322" s="215">
        <f>E253*0.75</f>
        <v>87.75</v>
      </c>
      <c r="E322" s="209"/>
      <c r="F322" s="207"/>
      <c r="G322" s="215"/>
      <c r="H322" s="249" t="s">
        <v>354</v>
      </c>
      <c r="I322" s="226">
        <f>I321*D321</f>
        <v>315</v>
      </c>
      <c r="J322" s="226"/>
      <c r="K322" s="215"/>
      <c r="O322" s="203" t="s">
        <v>315</v>
      </c>
      <c r="P322" s="145"/>
      <c r="Q322" s="145"/>
      <c r="R322" s="145"/>
      <c r="S322" s="145"/>
      <c r="T322" s="140"/>
      <c r="U322" s="27"/>
      <c r="V322" s="27"/>
      <c r="X322" s="179"/>
      <c r="Y322" s="179"/>
      <c r="Z322" s="179"/>
      <c r="AA322" s="179"/>
    </row>
    <row r="323" spans="2:73" hidden="1" x14ac:dyDescent="0.2">
      <c r="C323" s="297" t="s">
        <v>368</v>
      </c>
      <c r="D323" s="215">
        <f>IF(H355=0,H354*0.75,H355)</f>
        <v>22.5</v>
      </c>
      <c r="E323" s="215"/>
      <c r="F323" s="286"/>
      <c r="G323" s="215"/>
      <c r="H323" s="286"/>
      <c r="I323" s="215"/>
      <c r="J323" s="215"/>
      <c r="K323" s="215"/>
      <c r="O323" s="221" t="b">
        <v>1</v>
      </c>
      <c r="P323" s="221" t="b">
        <v>0</v>
      </c>
      <c r="Q323" s="221" t="b">
        <v>0</v>
      </c>
      <c r="R323" s="192">
        <f t="shared" ref="R323:R331" si="48">IF(O323=TRUE,1,0)</f>
        <v>1</v>
      </c>
      <c r="S323" s="192">
        <f t="shared" ref="S323:S331" si="49">IF(P323=TRUE,1,0)</f>
        <v>0</v>
      </c>
      <c r="T323" s="192">
        <f t="shared" ref="T323:T331" si="50">IF(Q323=TRUE,1,0)</f>
        <v>0</v>
      </c>
      <c r="U323" s="27"/>
      <c r="V323" s="27"/>
      <c r="X323" s="179"/>
      <c r="Y323" s="179"/>
      <c r="Z323" s="179"/>
      <c r="AA323" s="179"/>
    </row>
    <row r="324" spans="2:73" ht="24" hidden="1" customHeight="1" x14ac:dyDescent="0.2">
      <c r="C324" s="286"/>
      <c r="D324" s="287"/>
      <c r="E324" s="287"/>
      <c r="F324" s="287"/>
      <c r="G324" s="286"/>
      <c r="H324" s="287"/>
      <c r="I324" s="287"/>
      <c r="J324" s="287"/>
      <c r="K324" s="215"/>
      <c r="O324" s="221" t="b">
        <v>1</v>
      </c>
      <c r="P324" s="221" t="b">
        <v>0</v>
      </c>
      <c r="Q324" s="221" t="b">
        <v>0</v>
      </c>
      <c r="R324" s="192">
        <f t="shared" si="48"/>
        <v>1</v>
      </c>
      <c r="S324" s="192">
        <f t="shared" si="49"/>
        <v>0</v>
      </c>
      <c r="T324" s="192">
        <f t="shared" si="50"/>
        <v>0</v>
      </c>
      <c r="U324" s="27"/>
      <c r="V324" s="27"/>
      <c r="X324" s="179"/>
      <c r="Y324" s="179"/>
      <c r="Z324" s="179"/>
      <c r="AA324" s="179"/>
    </row>
    <row r="325" spans="2:73" hidden="1" x14ac:dyDescent="0.2">
      <c r="C325" s="209"/>
      <c r="D325" s="215"/>
      <c r="E325" s="209" t="s">
        <v>371</v>
      </c>
      <c r="F325" s="293">
        <f>F315+I322</f>
        <v>765</v>
      </c>
      <c r="G325" s="250"/>
      <c r="H325" s="249"/>
      <c r="I325" s="226"/>
      <c r="J325" s="226"/>
      <c r="K325" s="215"/>
      <c r="O325" s="221" t="b">
        <v>1</v>
      </c>
      <c r="P325" s="221" t="b">
        <v>0</v>
      </c>
      <c r="Q325" s="221" t="b">
        <v>0</v>
      </c>
      <c r="R325" s="192">
        <f t="shared" si="48"/>
        <v>1</v>
      </c>
      <c r="S325" s="192">
        <f t="shared" si="49"/>
        <v>0</v>
      </c>
      <c r="T325" s="192">
        <f t="shared" si="50"/>
        <v>0</v>
      </c>
      <c r="U325" s="27"/>
      <c r="V325" s="27"/>
      <c r="X325" s="179"/>
      <c r="Y325" s="179"/>
      <c r="Z325" s="179"/>
      <c r="AA325" s="179"/>
    </row>
    <row r="326" spans="2:73" hidden="1" x14ac:dyDescent="0.2">
      <c r="O326" s="221" t="b">
        <v>1</v>
      </c>
      <c r="P326" s="221" t="b">
        <v>0</v>
      </c>
      <c r="Q326" s="221" t="b">
        <v>0</v>
      </c>
      <c r="R326" s="192">
        <f t="shared" si="48"/>
        <v>1</v>
      </c>
      <c r="S326" s="192">
        <f t="shared" si="49"/>
        <v>0</v>
      </c>
      <c r="T326" s="192">
        <f t="shared" si="50"/>
        <v>0</v>
      </c>
      <c r="U326" s="27"/>
      <c r="V326" s="27"/>
      <c r="X326" s="179"/>
      <c r="Y326" s="179"/>
      <c r="Z326" s="179"/>
      <c r="AA326" s="179"/>
    </row>
    <row r="327" spans="2:73" hidden="1" x14ac:dyDescent="0.2">
      <c r="O327" s="221" t="b">
        <v>1</v>
      </c>
      <c r="P327" s="221" t="b">
        <v>0</v>
      </c>
      <c r="Q327" s="221" t="b">
        <v>0</v>
      </c>
      <c r="R327" s="192">
        <f t="shared" si="48"/>
        <v>1</v>
      </c>
      <c r="S327" s="192">
        <f t="shared" si="49"/>
        <v>0</v>
      </c>
      <c r="T327" s="192">
        <f t="shared" si="50"/>
        <v>0</v>
      </c>
      <c r="U327" s="27"/>
      <c r="V327" s="27"/>
      <c r="X327" s="179"/>
      <c r="Y327" s="179"/>
      <c r="Z327" s="179"/>
      <c r="AA327" s="179"/>
    </row>
    <row r="328" spans="2:73" hidden="1" x14ac:dyDescent="0.2">
      <c r="O328" s="221" t="b">
        <v>1</v>
      </c>
      <c r="P328" s="221" t="b">
        <v>0</v>
      </c>
      <c r="Q328" s="221" t="b">
        <v>0</v>
      </c>
      <c r="R328" s="192">
        <f>IF(O328=TRUE,1,0)</f>
        <v>1</v>
      </c>
      <c r="S328" s="192">
        <f t="shared" si="49"/>
        <v>0</v>
      </c>
      <c r="T328" s="192">
        <f t="shared" si="50"/>
        <v>0</v>
      </c>
      <c r="U328" s="27"/>
      <c r="V328" s="27"/>
      <c r="X328" s="179"/>
      <c r="Y328" s="179"/>
      <c r="Z328" s="179"/>
      <c r="AA328" s="179"/>
    </row>
    <row r="329" spans="2:73" hidden="1" x14ac:dyDescent="0.2">
      <c r="K329" s="179"/>
      <c r="O329" s="221" t="b">
        <v>1</v>
      </c>
      <c r="P329" s="221" t="b">
        <v>0</v>
      </c>
      <c r="Q329" s="221" t="b">
        <v>0</v>
      </c>
      <c r="R329" s="192">
        <f t="shared" si="48"/>
        <v>1</v>
      </c>
      <c r="S329" s="192">
        <f t="shared" si="49"/>
        <v>0</v>
      </c>
      <c r="T329" s="192">
        <f t="shared" si="50"/>
        <v>0</v>
      </c>
      <c r="U329" s="27"/>
      <c r="V329" s="27"/>
      <c r="X329" s="179"/>
      <c r="Y329" s="179"/>
      <c r="Z329" s="179"/>
      <c r="AA329" s="179"/>
    </row>
    <row r="330" spans="2:73" hidden="1" x14ac:dyDescent="0.2">
      <c r="O330" s="221" t="b">
        <v>1</v>
      </c>
      <c r="P330" s="221" t="b">
        <v>0</v>
      </c>
      <c r="Q330" s="221" t="b">
        <v>0</v>
      </c>
      <c r="R330" s="192">
        <f t="shared" si="48"/>
        <v>1</v>
      </c>
      <c r="S330" s="192">
        <f t="shared" si="49"/>
        <v>0</v>
      </c>
      <c r="T330" s="192">
        <f t="shared" si="50"/>
        <v>0</v>
      </c>
      <c r="U330" s="27"/>
      <c r="V330" s="27"/>
      <c r="X330" s="179"/>
      <c r="Y330" s="179"/>
      <c r="Z330" s="179"/>
      <c r="AA330" s="179"/>
    </row>
    <row r="331" spans="2:73" hidden="1" x14ac:dyDescent="0.2">
      <c r="O331" s="221" t="b">
        <v>1</v>
      </c>
      <c r="P331" s="221" t="b">
        <v>0</v>
      </c>
      <c r="Q331" s="221" t="b">
        <v>0</v>
      </c>
      <c r="R331" s="192">
        <f t="shared" si="48"/>
        <v>1</v>
      </c>
      <c r="S331" s="192">
        <f t="shared" si="49"/>
        <v>0</v>
      </c>
      <c r="T331" s="192">
        <f t="shared" si="50"/>
        <v>0</v>
      </c>
      <c r="U331" s="27"/>
      <c r="V331" s="27"/>
      <c r="X331" s="179"/>
      <c r="Y331" s="179"/>
      <c r="Z331" s="179"/>
      <c r="AA331" s="179"/>
    </row>
    <row r="332" spans="2:73" hidden="1" x14ac:dyDescent="0.2">
      <c r="B332" s="187"/>
      <c r="C332" s="186"/>
      <c r="D332" s="186"/>
      <c r="E332" s="186"/>
      <c r="O332" s="319" t="s">
        <v>92</v>
      </c>
      <c r="P332" s="319" t="s">
        <v>93</v>
      </c>
      <c r="Q332" s="319" t="s">
        <v>100</v>
      </c>
      <c r="R332" s="193"/>
      <c r="S332" s="193"/>
      <c r="T332" s="193"/>
      <c r="U332" s="27"/>
      <c r="V332" s="27"/>
      <c r="X332" s="179"/>
      <c r="Y332" s="179"/>
      <c r="Z332" s="179"/>
      <c r="AA332" s="179"/>
    </row>
    <row r="333" spans="2:73" hidden="1" x14ac:dyDescent="0.2">
      <c r="B333" s="187"/>
      <c r="C333" s="186"/>
      <c r="D333" s="186"/>
      <c r="E333" s="186"/>
      <c r="O333" s="145"/>
      <c r="P333" s="275"/>
      <c r="Q333" s="274"/>
      <c r="R333" s="251"/>
      <c r="S333" s="251"/>
      <c r="T333" s="252"/>
      <c r="U333" s="196"/>
      <c r="V333" s="276"/>
      <c r="X333" s="179"/>
      <c r="Y333" s="179"/>
      <c r="Z333" s="179"/>
      <c r="AA333" s="179"/>
    </row>
    <row r="334" spans="2:73" ht="9.75" customHeight="1" x14ac:dyDescent="0.2">
      <c r="B334" s="187"/>
      <c r="C334" s="309"/>
      <c r="D334" s="309"/>
      <c r="E334" s="309"/>
      <c r="F334" s="199"/>
      <c r="G334" s="199"/>
      <c r="H334" s="310"/>
      <c r="I334" s="310"/>
      <c r="J334" s="201"/>
      <c r="K334" s="201"/>
      <c r="L334" s="201"/>
      <c r="M334" s="369"/>
      <c r="N334" s="369"/>
      <c r="O334" s="345"/>
      <c r="P334" s="345"/>
      <c r="Q334" s="345"/>
      <c r="R334" s="345"/>
      <c r="S334" s="345"/>
      <c r="T334" s="345"/>
      <c r="U334" s="345"/>
      <c r="V334" s="346"/>
      <c r="W334" s="341"/>
      <c r="X334" s="341"/>
      <c r="Y334" s="341"/>
      <c r="Z334" s="341"/>
      <c r="AA334" s="341"/>
      <c r="AL334" s="341"/>
      <c r="AM334" s="341"/>
      <c r="AN334" s="341"/>
      <c r="AO334" s="341"/>
      <c r="AP334" s="341"/>
      <c r="AQ334" s="341"/>
      <c r="AR334" s="341"/>
      <c r="AS334" s="341"/>
      <c r="AT334" s="341"/>
      <c r="AU334" s="341"/>
      <c r="AV334" s="341"/>
      <c r="AW334" s="341"/>
      <c r="AX334" s="341"/>
      <c r="AY334" s="341"/>
      <c r="AZ334" s="341"/>
      <c r="BA334" s="341"/>
      <c r="BB334" s="341"/>
      <c r="BC334" s="341"/>
      <c r="BD334" s="341"/>
      <c r="BE334" s="341"/>
      <c r="BF334" s="341"/>
      <c r="BG334" s="341"/>
      <c r="BH334" s="341"/>
      <c r="BI334" s="341"/>
      <c r="BJ334" s="341"/>
      <c r="BK334" s="341"/>
      <c r="BL334" s="341"/>
      <c r="BM334" s="341"/>
      <c r="BN334" s="341"/>
      <c r="BO334" s="341"/>
      <c r="BP334" s="341"/>
      <c r="BQ334" s="341"/>
      <c r="BR334" s="341"/>
      <c r="BS334" s="341"/>
      <c r="BT334" s="341"/>
      <c r="BU334" s="341"/>
    </row>
    <row r="335" spans="2:73" ht="13.5" customHeight="1" x14ac:dyDescent="0.2">
      <c r="B335" s="25"/>
      <c r="C335" s="413" t="s">
        <v>21</v>
      </c>
      <c r="D335" s="414"/>
      <c r="E335" s="414"/>
      <c r="F335" s="414"/>
      <c r="G335" s="414"/>
      <c r="H335" s="414"/>
      <c r="I335" s="415"/>
      <c r="J335" s="454" t="s">
        <v>16</v>
      </c>
      <c r="K335" s="455"/>
      <c r="L335" s="456"/>
      <c r="M335" s="374"/>
      <c r="N335" s="386"/>
      <c r="P335" s="345"/>
      <c r="Q335" s="345"/>
      <c r="R335" s="345"/>
      <c r="S335" s="345"/>
      <c r="T335" s="345"/>
      <c r="U335" s="347"/>
      <c r="V335" s="345"/>
      <c r="W335" s="341"/>
      <c r="X335" s="341"/>
      <c r="Y335" s="341"/>
      <c r="Z335" s="341"/>
      <c r="AA335" s="341"/>
      <c r="AL335" s="341"/>
      <c r="AM335" s="341"/>
      <c r="AN335" s="341"/>
      <c r="AO335" s="341"/>
      <c r="AP335" s="341"/>
      <c r="AQ335" s="341"/>
      <c r="AR335" s="341"/>
      <c r="AS335" s="341"/>
      <c r="AT335" s="341"/>
      <c r="AU335" s="341"/>
      <c r="AV335" s="341"/>
      <c r="AW335" s="341"/>
      <c r="AX335" s="341"/>
      <c r="AY335" s="341"/>
      <c r="AZ335" s="341"/>
      <c r="BA335" s="341"/>
      <c r="BB335" s="341"/>
      <c r="BC335" s="341"/>
      <c r="BD335" s="341"/>
      <c r="BE335" s="341"/>
      <c r="BF335" s="341"/>
      <c r="BG335" s="341"/>
      <c r="BH335" s="341"/>
      <c r="BI335" s="341"/>
      <c r="BJ335" s="341"/>
      <c r="BK335" s="341"/>
      <c r="BL335" s="341"/>
      <c r="BM335" s="341"/>
      <c r="BN335" s="341"/>
      <c r="BO335" s="341"/>
      <c r="BP335" s="341"/>
      <c r="BQ335" s="341"/>
      <c r="BR335" s="341"/>
      <c r="BS335" s="341"/>
      <c r="BT335" s="341"/>
      <c r="BU335" s="341"/>
    </row>
    <row r="336" spans="2:73" ht="13.5" customHeight="1" x14ac:dyDescent="0.2">
      <c r="B336" s="25"/>
      <c r="C336" s="416" t="s">
        <v>17</v>
      </c>
      <c r="D336" s="417"/>
      <c r="E336" s="418"/>
      <c r="F336" s="51" t="s">
        <v>18</v>
      </c>
      <c r="G336" s="51" t="s">
        <v>19</v>
      </c>
      <c r="H336" s="51" t="s">
        <v>20</v>
      </c>
      <c r="I336" s="1" t="s">
        <v>21</v>
      </c>
      <c r="J336" s="51" t="s">
        <v>22</v>
      </c>
      <c r="K336" s="51" t="s">
        <v>23</v>
      </c>
      <c r="L336" s="51" t="s">
        <v>24</v>
      </c>
      <c r="M336" s="375"/>
      <c r="N336" s="387" t="s">
        <v>25</v>
      </c>
      <c r="P336" s="345"/>
      <c r="Q336" s="345"/>
      <c r="R336" s="345"/>
      <c r="S336" s="345"/>
      <c r="T336" s="345"/>
      <c r="U336" s="345"/>
      <c r="V336" s="347"/>
      <c r="W336" s="341"/>
      <c r="X336" s="341"/>
      <c r="Y336" s="341"/>
      <c r="Z336" s="341"/>
      <c r="AA336" s="341"/>
      <c r="AB336" s="341"/>
      <c r="AC336" s="341"/>
      <c r="AD336" s="341"/>
      <c r="AE336" s="341"/>
      <c r="AF336" s="341"/>
      <c r="AG336" s="341"/>
      <c r="AH336" s="341"/>
      <c r="AI336" s="341"/>
      <c r="AJ336" s="341"/>
      <c r="AK336" s="341"/>
      <c r="AL336" s="341"/>
      <c r="AM336" s="341"/>
      <c r="AN336" s="341"/>
      <c r="AO336" s="341"/>
      <c r="AP336" s="341"/>
      <c r="AQ336" s="341"/>
      <c r="AR336" s="341"/>
      <c r="AS336" s="341"/>
      <c r="AT336" s="341"/>
      <c r="AU336" s="341"/>
      <c r="AV336" s="341"/>
      <c r="AW336" s="341"/>
      <c r="AX336" s="341"/>
      <c r="AY336" s="341"/>
      <c r="AZ336" s="341"/>
      <c r="BA336" s="341"/>
      <c r="BB336" s="341"/>
      <c r="BC336" s="341"/>
      <c r="BD336" s="341"/>
      <c r="BE336" s="341"/>
      <c r="BF336" s="341"/>
      <c r="BG336" s="341"/>
      <c r="BH336" s="341"/>
      <c r="BI336" s="341"/>
      <c r="BJ336" s="341"/>
      <c r="BK336" s="341"/>
      <c r="BL336" s="341"/>
      <c r="BM336" s="341"/>
      <c r="BN336" s="341"/>
      <c r="BO336" s="341"/>
      <c r="BP336" s="341"/>
      <c r="BQ336" s="341"/>
      <c r="BR336" s="341"/>
      <c r="BS336" s="341"/>
      <c r="BT336" s="341"/>
      <c r="BU336" s="341"/>
    </row>
    <row r="337" spans="2:73" ht="13.5" customHeight="1" x14ac:dyDescent="0.2">
      <c r="B337" s="25"/>
      <c r="C337" s="419">
        <f t="shared" ref="C337:C345" si="51">O309</f>
        <v>43830</v>
      </c>
      <c r="D337" s="420"/>
      <c r="E337" s="421"/>
      <c r="F337" s="78">
        <f t="shared" ref="F337:F345" si="52">R309</f>
        <v>0.25</v>
      </c>
      <c r="G337" s="79" t="str">
        <f t="shared" ref="G337:G345" si="53">S309</f>
        <v>24:00:00</v>
      </c>
      <c r="H337" s="2">
        <f t="shared" ref="H337:H345" si="54">T309</f>
        <v>0.75</v>
      </c>
      <c r="I337" s="52">
        <f t="shared" ref="I337:I345" si="55">U309</f>
        <v>32.799999999999997</v>
      </c>
      <c r="J337" s="154"/>
      <c r="K337" s="154"/>
      <c r="L337" s="154"/>
      <c r="M337" s="375"/>
      <c r="N337" s="388">
        <f t="shared" ref="N337:N346" si="56">V309</f>
        <v>24.599999999999998</v>
      </c>
      <c r="P337" s="345"/>
      <c r="Q337" s="345"/>
      <c r="R337" s="345"/>
      <c r="S337" s="345"/>
      <c r="T337" s="345"/>
      <c r="U337" s="345"/>
      <c r="V337" s="345"/>
      <c r="W337" s="341"/>
      <c r="X337" s="341"/>
      <c r="Y337" s="341"/>
      <c r="Z337" s="341"/>
      <c r="AA337" s="341"/>
      <c r="AB337" s="341"/>
      <c r="AC337" s="341"/>
      <c r="AD337" s="341"/>
      <c r="AE337" s="341"/>
      <c r="AF337" s="341"/>
      <c r="AG337" s="341"/>
      <c r="AH337" s="341"/>
      <c r="AI337" s="341"/>
      <c r="AJ337" s="341"/>
      <c r="AK337" s="341"/>
      <c r="AL337" s="341"/>
      <c r="AM337" s="341"/>
      <c r="AN337" s="341"/>
      <c r="AO337" s="341"/>
      <c r="AP337" s="341"/>
      <c r="AQ337" s="341"/>
      <c r="AR337" s="341"/>
      <c r="AS337" s="341"/>
      <c r="AT337" s="341"/>
      <c r="AU337" s="341"/>
      <c r="AV337" s="341"/>
      <c r="AW337" s="341"/>
      <c r="AX337" s="341"/>
      <c r="AY337" s="341"/>
      <c r="AZ337" s="341"/>
      <c r="BA337" s="341"/>
      <c r="BB337" s="341"/>
      <c r="BC337" s="341"/>
      <c r="BD337" s="341"/>
      <c r="BE337" s="341"/>
      <c r="BF337" s="341"/>
      <c r="BG337" s="341"/>
      <c r="BH337" s="341"/>
      <c r="BI337" s="341"/>
      <c r="BJ337" s="341"/>
      <c r="BK337" s="341"/>
      <c r="BL337" s="341"/>
      <c r="BM337" s="341"/>
      <c r="BN337" s="341"/>
      <c r="BO337" s="341"/>
      <c r="BP337" s="341"/>
      <c r="BQ337" s="341"/>
      <c r="BR337" s="341"/>
      <c r="BS337" s="341"/>
      <c r="BT337" s="341"/>
      <c r="BU337" s="341"/>
    </row>
    <row r="338" spans="2:73" ht="13.5" customHeight="1" x14ac:dyDescent="0.2">
      <c r="B338" s="25"/>
      <c r="C338" s="419">
        <f t="shared" si="51"/>
        <v>43831</v>
      </c>
      <c r="D338" s="420"/>
      <c r="E338" s="421"/>
      <c r="F338" s="78" t="str">
        <f t="shared" si="52"/>
        <v>00:00:00</v>
      </c>
      <c r="G338" s="79" t="str">
        <f t="shared" si="53"/>
        <v>24:00:00</v>
      </c>
      <c r="H338" s="2">
        <f t="shared" si="54"/>
        <v>1</v>
      </c>
      <c r="I338" s="52">
        <f t="shared" si="55"/>
        <v>41</v>
      </c>
      <c r="J338" s="155"/>
      <c r="K338" s="154"/>
      <c r="L338" s="154"/>
      <c r="M338" s="375"/>
      <c r="N338" s="388">
        <f t="shared" si="56"/>
        <v>32.799999999999997</v>
      </c>
      <c r="P338" s="348"/>
      <c r="Q338" s="348"/>
      <c r="R338" s="348"/>
      <c r="S338" s="348"/>
      <c r="T338" s="345"/>
      <c r="U338" s="345"/>
      <c r="V338" s="346"/>
      <c r="W338" s="341"/>
      <c r="X338" s="341"/>
      <c r="Y338" s="341"/>
      <c r="Z338" s="341"/>
      <c r="AA338" s="341"/>
      <c r="AB338" s="341"/>
      <c r="AC338" s="341"/>
      <c r="AD338" s="341"/>
      <c r="AE338" s="341"/>
      <c r="AF338" s="341"/>
      <c r="AG338" s="341"/>
      <c r="AH338" s="341"/>
      <c r="AI338" s="341"/>
      <c r="AJ338" s="341"/>
      <c r="AK338" s="341"/>
      <c r="AL338" s="341"/>
      <c r="AM338" s="341"/>
      <c r="AN338" s="341"/>
      <c r="AO338" s="341"/>
      <c r="AP338" s="341"/>
      <c r="AQ338" s="341"/>
      <c r="AR338" s="341"/>
      <c r="AS338" s="341"/>
      <c r="AT338" s="341"/>
      <c r="AU338" s="341"/>
      <c r="AV338" s="341"/>
      <c r="AW338" s="341"/>
      <c r="AX338" s="341"/>
      <c r="AY338" s="341"/>
      <c r="AZ338" s="341"/>
      <c r="BA338" s="341"/>
      <c r="BB338" s="341"/>
      <c r="BC338" s="341"/>
      <c r="BD338" s="341"/>
      <c r="BE338" s="341"/>
      <c r="BF338" s="341"/>
      <c r="BG338" s="341"/>
      <c r="BH338" s="341"/>
      <c r="BI338" s="341"/>
      <c r="BJ338" s="341"/>
      <c r="BK338" s="341"/>
      <c r="BL338" s="341"/>
      <c r="BM338" s="341"/>
      <c r="BN338" s="341"/>
      <c r="BO338" s="341"/>
      <c r="BP338" s="341"/>
      <c r="BQ338" s="341"/>
      <c r="BR338" s="341"/>
      <c r="BS338" s="341"/>
      <c r="BT338" s="341"/>
      <c r="BU338" s="341"/>
    </row>
    <row r="339" spans="2:73" ht="13.5" customHeight="1" x14ac:dyDescent="0.2">
      <c r="B339" s="25"/>
      <c r="C339" s="419">
        <f t="shared" si="51"/>
        <v>43832</v>
      </c>
      <c r="D339" s="420"/>
      <c r="E339" s="421"/>
      <c r="F339" s="78" t="str">
        <f t="shared" si="52"/>
        <v>00:00:00</v>
      </c>
      <c r="G339" s="79" t="str">
        <f t="shared" si="53"/>
        <v>24:00:00</v>
      </c>
      <c r="H339" s="2">
        <f t="shared" si="54"/>
        <v>1</v>
      </c>
      <c r="I339" s="52">
        <f t="shared" si="55"/>
        <v>41</v>
      </c>
      <c r="J339" s="155"/>
      <c r="K339" s="154"/>
      <c r="L339" s="154"/>
      <c r="M339" s="375"/>
      <c r="N339" s="388">
        <f t="shared" si="56"/>
        <v>32.799999999999997</v>
      </c>
      <c r="P339" s="348"/>
      <c r="Q339" s="348"/>
      <c r="R339" s="348"/>
      <c r="S339" s="348"/>
      <c r="T339" s="348"/>
      <c r="U339" s="345"/>
      <c r="V339" s="346"/>
      <c r="W339" s="341"/>
      <c r="X339" s="341"/>
      <c r="Y339" s="341"/>
      <c r="Z339" s="341"/>
      <c r="AA339" s="341"/>
      <c r="AB339" s="341"/>
      <c r="AC339" s="341"/>
      <c r="AD339" s="341"/>
      <c r="AE339" s="341"/>
      <c r="AF339" s="341"/>
      <c r="AG339" s="341"/>
      <c r="AH339" s="341"/>
      <c r="AI339" s="341"/>
      <c r="AJ339" s="341"/>
      <c r="AK339" s="341"/>
      <c r="AL339" s="341"/>
      <c r="AM339" s="341"/>
      <c r="AN339" s="341"/>
      <c r="AO339" s="341"/>
      <c r="AP339" s="341"/>
      <c r="AQ339" s="341"/>
      <c r="AR339" s="341"/>
      <c r="AS339" s="341"/>
      <c r="AT339" s="341"/>
      <c r="AU339" s="341"/>
      <c r="AV339" s="341"/>
      <c r="AW339" s="341"/>
      <c r="AX339" s="341"/>
      <c r="AY339" s="341"/>
      <c r="AZ339" s="341"/>
      <c r="BA339" s="341"/>
      <c r="BB339" s="341"/>
      <c r="BC339" s="341"/>
      <c r="BD339" s="341"/>
      <c r="BE339" s="341"/>
      <c r="BF339" s="341"/>
      <c r="BG339" s="341"/>
      <c r="BH339" s="341"/>
      <c r="BI339" s="341"/>
      <c r="BJ339" s="341"/>
      <c r="BK339" s="341"/>
      <c r="BL339" s="341"/>
      <c r="BM339" s="341"/>
      <c r="BN339" s="341"/>
      <c r="BO339" s="341"/>
      <c r="BP339" s="341"/>
      <c r="BQ339" s="341"/>
      <c r="BR339" s="341"/>
      <c r="BS339" s="341"/>
      <c r="BT339" s="341"/>
      <c r="BU339" s="341"/>
    </row>
    <row r="340" spans="2:73" ht="13.5" customHeight="1" x14ac:dyDescent="0.2">
      <c r="B340" s="25"/>
      <c r="C340" s="419">
        <f t="shared" si="51"/>
        <v>43833</v>
      </c>
      <c r="D340" s="420"/>
      <c r="E340" s="421"/>
      <c r="F340" s="78" t="str">
        <f t="shared" si="52"/>
        <v>00:00:00</v>
      </c>
      <c r="G340" s="79" t="str">
        <f t="shared" si="53"/>
        <v>24:00:00</v>
      </c>
      <c r="H340" s="2">
        <f t="shared" si="54"/>
        <v>1</v>
      </c>
      <c r="I340" s="52">
        <f t="shared" si="55"/>
        <v>41</v>
      </c>
      <c r="J340" s="155"/>
      <c r="K340" s="154"/>
      <c r="L340" s="154"/>
      <c r="M340" s="375"/>
      <c r="N340" s="388">
        <f>V312</f>
        <v>32.799999999999997</v>
      </c>
      <c r="P340" s="349"/>
      <c r="Q340" s="348"/>
      <c r="R340" s="348"/>
      <c r="S340" s="348"/>
      <c r="T340" s="348"/>
      <c r="U340" s="345"/>
      <c r="V340" s="348"/>
      <c r="W340" s="341"/>
      <c r="X340" s="341"/>
      <c r="Y340" s="341"/>
      <c r="Z340" s="341"/>
      <c r="AA340" s="341"/>
      <c r="AB340" s="341"/>
      <c r="AC340" s="341"/>
      <c r="AD340" s="341"/>
      <c r="AE340" s="341"/>
      <c r="AF340" s="341"/>
      <c r="AG340" s="341"/>
      <c r="AH340" s="341"/>
      <c r="AI340" s="341"/>
      <c r="AJ340" s="341"/>
      <c r="AK340" s="341"/>
      <c r="AL340" s="341"/>
      <c r="AM340" s="341"/>
      <c r="AN340" s="341"/>
      <c r="AO340" s="341"/>
      <c r="AP340" s="341"/>
      <c r="AQ340" s="341"/>
      <c r="AR340" s="341"/>
      <c r="AS340" s="341"/>
      <c r="AT340" s="341"/>
      <c r="AU340" s="341"/>
      <c r="AV340" s="341"/>
      <c r="AW340" s="341"/>
      <c r="AX340" s="341"/>
      <c r="AY340" s="341"/>
      <c r="AZ340" s="341"/>
      <c r="BA340" s="341"/>
      <c r="BB340" s="341"/>
      <c r="BC340" s="341"/>
      <c r="BD340" s="341"/>
      <c r="BE340" s="341"/>
      <c r="BF340" s="341"/>
      <c r="BG340" s="341"/>
      <c r="BH340" s="341"/>
      <c r="BI340" s="341"/>
      <c r="BJ340" s="341"/>
      <c r="BK340" s="341"/>
      <c r="BL340" s="341"/>
      <c r="BM340" s="341"/>
      <c r="BN340" s="341"/>
      <c r="BO340" s="341"/>
      <c r="BP340" s="341"/>
      <c r="BQ340" s="341"/>
      <c r="BR340" s="341"/>
      <c r="BS340" s="341"/>
      <c r="BT340" s="341"/>
      <c r="BU340" s="341"/>
    </row>
    <row r="341" spans="2:73" x14ac:dyDescent="0.2">
      <c r="B341" s="25"/>
      <c r="C341" s="419">
        <f t="shared" si="51"/>
        <v>43834</v>
      </c>
      <c r="D341" s="420"/>
      <c r="E341" s="421"/>
      <c r="F341" s="78" t="str">
        <f t="shared" si="52"/>
        <v>00:00:00</v>
      </c>
      <c r="G341" s="79" t="str">
        <f t="shared" si="53"/>
        <v>24:00:00</v>
      </c>
      <c r="H341" s="2">
        <f t="shared" si="54"/>
        <v>1</v>
      </c>
      <c r="I341" s="52">
        <f t="shared" si="55"/>
        <v>41</v>
      </c>
      <c r="J341" s="155"/>
      <c r="K341" s="154"/>
      <c r="L341" s="154"/>
      <c r="M341" s="375"/>
      <c r="N341" s="388">
        <f t="shared" si="56"/>
        <v>32.799999999999997</v>
      </c>
      <c r="P341" s="348"/>
      <c r="Q341" s="348"/>
      <c r="R341" s="348"/>
      <c r="S341" s="348"/>
      <c r="T341" s="348"/>
      <c r="U341" s="345"/>
      <c r="V341" s="345"/>
      <c r="W341" s="341"/>
      <c r="X341" s="341"/>
      <c r="Y341" s="341"/>
      <c r="Z341" s="341"/>
      <c r="AA341" s="341"/>
      <c r="AB341" s="341"/>
      <c r="AC341" s="341"/>
      <c r="AD341" s="341"/>
      <c r="AE341" s="341"/>
      <c r="AF341" s="341"/>
      <c r="AG341" s="341"/>
      <c r="AH341" s="341"/>
      <c r="AI341" s="341"/>
      <c r="AJ341" s="341"/>
      <c r="AK341" s="341"/>
      <c r="AL341" s="341"/>
      <c r="AM341" s="341"/>
      <c r="AN341" s="341"/>
      <c r="AO341" s="341"/>
      <c r="AP341" s="341"/>
      <c r="AQ341" s="341"/>
      <c r="AR341" s="341"/>
      <c r="AS341" s="341"/>
      <c r="AT341" s="341"/>
      <c r="AU341" s="341"/>
      <c r="AV341" s="341"/>
      <c r="AW341" s="341"/>
      <c r="AX341" s="341"/>
      <c r="AY341" s="341"/>
      <c r="AZ341" s="341"/>
      <c r="BA341" s="341"/>
      <c r="BB341" s="341"/>
      <c r="BC341" s="341"/>
      <c r="BD341" s="341"/>
      <c r="BE341" s="341"/>
      <c r="BF341" s="341"/>
      <c r="BG341" s="341"/>
      <c r="BH341" s="341"/>
      <c r="BI341" s="341"/>
      <c r="BJ341" s="341"/>
      <c r="BK341" s="341"/>
      <c r="BL341" s="341"/>
      <c r="BM341" s="341"/>
      <c r="BN341" s="341"/>
      <c r="BO341" s="341"/>
      <c r="BP341" s="341"/>
      <c r="BQ341" s="341"/>
      <c r="BR341" s="341"/>
      <c r="BS341" s="341"/>
      <c r="BT341" s="341"/>
      <c r="BU341" s="341"/>
    </row>
    <row r="342" spans="2:73" ht="13.5" customHeight="1" x14ac:dyDescent="0.2">
      <c r="B342" s="25"/>
      <c r="C342" s="419">
        <f t="shared" si="51"/>
        <v>43835</v>
      </c>
      <c r="D342" s="420"/>
      <c r="E342" s="421"/>
      <c r="F342" s="78" t="str">
        <f t="shared" si="52"/>
        <v>00:00:00</v>
      </c>
      <c r="G342" s="79" t="str">
        <f t="shared" si="53"/>
        <v>24:00:00</v>
      </c>
      <c r="H342" s="2">
        <f t="shared" si="54"/>
        <v>1</v>
      </c>
      <c r="I342" s="52">
        <f t="shared" si="55"/>
        <v>41</v>
      </c>
      <c r="J342" s="155"/>
      <c r="K342" s="154"/>
      <c r="L342" s="154"/>
      <c r="M342" s="375"/>
      <c r="N342" s="388">
        <f t="shared" si="56"/>
        <v>32.799999999999997</v>
      </c>
      <c r="P342" s="350"/>
      <c r="Q342" s="350"/>
      <c r="R342" s="348"/>
      <c r="S342" s="348"/>
      <c r="T342" s="348"/>
      <c r="U342" s="345"/>
      <c r="V342" s="345"/>
      <c r="W342" s="341"/>
      <c r="X342" s="341"/>
      <c r="Y342" s="341"/>
      <c r="Z342" s="341"/>
      <c r="AA342" s="341"/>
      <c r="AB342" s="341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1"/>
      <c r="BA342" s="341"/>
      <c r="BB342" s="341"/>
      <c r="BC342" s="341"/>
      <c r="BD342" s="341"/>
      <c r="BE342" s="341"/>
      <c r="BF342" s="341"/>
      <c r="BG342" s="341"/>
      <c r="BH342" s="341"/>
      <c r="BI342" s="341"/>
      <c r="BJ342" s="341"/>
      <c r="BK342" s="341"/>
      <c r="BL342" s="341"/>
      <c r="BM342" s="341"/>
      <c r="BN342" s="341"/>
      <c r="BO342" s="341"/>
      <c r="BP342" s="341"/>
      <c r="BQ342" s="341"/>
      <c r="BR342" s="341"/>
      <c r="BS342" s="341"/>
      <c r="BT342" s="341"/>
      <c r="BU342" s="341"/>
    </row>
    <row r="343" spans="2:73" ht="13.5" customHeight="1" x14ac:dyDescent="0.2">
      <c r="B343" s="25"/>
      <c r="C343" s="419">
        <f t="shared" si="51"/>
        <v>43836</v>
      </c>
      <c r="D343" s="420"/>
      <c r="E343" s="421"/>
      <c r="F343" s="78" t="str">
        <f t="shared" si="52"/>
        <v>00:00:00</v>
      </c>
      <c r="G343" s="79" t="str">
        <f t="shared" si="53"/>
        <v>24:00:00</v>
      </c>
      <c r="H343" s="2">
        <f t="shared" si="54"/>
        <v>1</v>
      </c>
      <c r="I343" s="52">
        <f t="shared" si="55"/>
        <v>41</v>
      </c>
      <c r="J343" s="155"/>
      <c r="K343" s="154"/>
      <c r="L343" s="154"/>
      <c r="M343" s="375"/>
      <c r="N343" s="388">
        <f t="shared" si="56"/>
        <v>32.799999999999997</v>
      </c>
      <c r="P343" s="348"/>
      <c r="Q343" s="348"/>
      <c r="R343" s="348"/>
      <c r="S343" s="348"/>
      <c r="T343" s="345"/>
      <c r="U343" s="345"/>
      <c r="V343" s="345"/>
      <c r="W343" s="341"/>
      <c r="X343" s="341"/>
      <c r="Y343" s="341"/>
      <c r="Z343" s="341"/>
      <c r="AA343" s="341"/>
      <c r="AB343" s="341"/>
      <c r="AC343" s="341"/>
      <c r="AD343" s="341"/>
      <c r="AE343" s="341"/>
      <c r="AF343" s="341"/>
      <c r="AG343" s="341"/>
      <c r="AH343" s="341"/>
      <c r="AI343" s="341"/>
      <c r="AJ343" s="341"/>
      <c r="AK343" s="341"/>
      <c r="AL343" s="341"/>
      <c r="AM343" s="341"/>
      <c r="AN343" s="341"/>
      <c r="AO343" s="341"/>
      <c r="AP343" s="341"/>
      <c r="AQ343" s="341"/>
      <c r="AR343" s="341"/>
      <c r="AS343" s="341"/>
      <c r="AT343" s="341"/>
      <c r="AU343" s="341"/>
      <c r="AV343" s="341"/>
      <c r="AW343" s="341"/>
      <c r="AX343" s="341"/>
      <c r="AY343" s="341"/>
      <c r="AZ343" s="341"/>
      <c r="BA343" s="341"/>
      <c r="BB343" s="341"/>
      <c r="BC343" s="341"/>
      <c r="BD343" s="341"/>
      <c r="BE343" s="341"/>
      <c r="BF343" s="341"/>
      <c r="BG343" s="341"/>
      <c r="BH343" s="341"/>
      <c r="BI343" s="341"/>
      <c r="BJ343" s="341"/>
      <c r="BK343" s="341"/>
      <c r="BL343" s="341"/>
      <c r="BM343" s="341"/>
      <c r="BN343" s="341"/>
      <c r="BO343" s="341"/>
      <c r="BP343" s="341"/>
      <c r="BQ343" s="341"/>
      <c r="BR343" s="341"/>
      <c r="BS343" s="341"/>
      <c r="BT343" s="341"/>
      <c r="BU343" s="341"/>
    </row>
    <row r="344" spans="2:73" ht="13.5" customHeight="1" x14ac:dyDescent="0.2">
      <c r="B344" s="25"/>
      <c r="C344" s="419" t="str">
        <f t="shared" si="51"/>
        <v>bis Rückkehr</v>
      </c>
      <c r="D344" s="420"/>
      <c r="E344" s="421"/>
      <c r="F344" s="78" t="str">
        <f t="shared" si="52"/>
        <v>22 Tage</v>
      </c>
      <c r="G344" s="79" t="str">
        <f t="shared" si="53"/>
        <v>Sonderfall!</v>
      </c>
      <c r="H344" s="2">
        <f t="shared" si="54"/>
        <v>22</v>
      </c>
      <c r="I344" s="52">
        <f t="shared" si="55"/>
        <v>902</v>
      </c>
      <c r="J344" s="155"/>
      <c r="K344" s="154"/>
      <c r="L344" s="154"/>
      <c r="M344" s="375"/>
      <c r="N344" s="388">
        <f t="shared" si="56"/>
        <v>606.79999999999995</v>
      </c>
      <c r="P344" s="348"/>
      <c r="Q344" s="348"/>
      <c r="R344" s="348"/>
      <c r="S344" s="348"/>
      <c r="T344" s="348"/>
      <c r="U344" s="345"/>
      <c r="V344" s="345"/>
      <c r="W344" s="341"/>
      <c r="X344" s="341"/>
      <c r="Y344" s="341"/>
      <c r="Z344" s="341"/>
      <c r="AA344" s="341"/>
      <c r="AB344" s="341"/>
      <c r="AC344" s="341"/>
      <c r="AD344" s="341"/>
      <c r="AE344" s="341"/>
      <c r="AF344" s="341"/>
      <c r="AG344" s="341"/>
      <c r="AH344" s="341"/>
      <c r="AI344" s="341"/>
      <c r="AJ344" s="341"/>
      <c r="AK344" s="341"/>
      <c r="AL344" s="341"/>
      <c r="AM344" s="341"/>
      <c r="AN344" s="341"/>
      <c r="AO344" s="341"/>
      <c r="AP344" s="341"/>
      <c r="AQ344" s="341"/>
      <c r="AR344" s="341"/>
      <c r="AS344" s="341"/>
      <c r="AT344" s="341"/>
      <c r="AU344" s="341"/>
      <c r="AV344" s="341"/>
      <c r="AW344" s="341"/>
      <c r="AX344" s="341"/>
      <c r="AY344" s="341"/>
      <c r="AZ344" s="341"/>
      <c r="BA344" s="341"/>
      <c r="BB344" s="341"/>
      <c r="BC344" s="341"/>
      <c r="BD344" s="341"/>
      <c r="BE344" s="341"/>
      <c r="BF344" s="341"/>
      <c r="BG344" s="341"/>
      <c r="BH344" s="341"/>
      <c r="BI344" s="341"/>
      <c r="BJ344" s="341"/>
      <c r="BK344" s="341"/>
      <c r="BL344" s="341"/>
      <c r="BM344" s="341"/>
      <c r="BN344" s="341"/>
      <c r="BO344" s="341"/>
      <c r="BP344" s="341"/>
      <c r="BQ344" s="341"/>
      <c r="BR344" s="341"/>
      <c r="BS344" s="341"/>
      <c r="BT344" s="341"/>
      <c r="BU344" s="341"/>
    </row>
    <row r="345" spans="2:73" ht="13.5" customHeight="1" x14ac:dyDescent="0.2">
      <c r="B345" s="25"/>
      <c r="C345" s="419">
        <f t="shared" si="51"/>
        <v>43859</v>
      </c>
      <c r="D345" s="420"/>
      <c r="E345" s="421"/>
      <c r="F345" s="78" t="str">
        <f t="shared" si="52"/>
        <v>00:00:00</v>
      </c>
      <c r="G345" s="79">
        <f t="shared" si="53"/>
        <v>0.75</v>
      </c>
      <c r="H345" s="2">
        <f t="shared" si="54"/>
        <v>0.75</v>
      </c>
      <c r="I345" s="52">
        <f t="shared" si="55"/>
        <v>32.799999999999997</v>
      </c>
      <c r="J345" s="155"/>
      <c r="K345" s="154"/>
      <c r="L345" s="154"/>
      <c r="M345" s="375"/>
      <c r="N345" s="388">
        <f t="shared" si="56"/>
        <v>24.599999999999998</v>
      </c>
      <c r="P345" s="348"/>
      <c r="Q345" s="348"/>
      <c r="R345" s="348"/>
      <c r="S345" s="348"/>
      <c r="T345" s="348"/>
      <c r="U345" s="345"/>
      <c r="V345" s="345"/>
      <c r="W345" s="341"/>
      <c r="X345" s="341"/>
      <c r="Y345" s="341"/>
      <c r="Z345" s="341"/>
      <c r="AA345" s="341"/>
      <c r="AB345" s="341"/>
      <c r="AC345" s="341"/>
      <c r="AD345" s="341"/>
      <c r="AE345" s="341"/>
      <c r="AF345" s="341"/>
      <c r="AG345" s="341"/>
      <c r="AH345" s="341"/>
      <c r="AI345" s="341"/>
      <c r="AJ345" s="341"/>
      <c r="AK345" s="341"/>
      <c r="AL345" s="341"/>
      <c r="AM345" s="341"/>
      <c r="AN345" s="341"/>
      <c r="AO345" s="341"/>
      <c r="AP345" s="341"/>
      <c r="AQ345" s="341"/>
      <c r="AR345" s="341"/>
      <c r="AS345" s="341"/>
      <c r="AT345" s="341"/>
      <c r="AU345" s="341"/>
      <c r="AV345" s="341"/>
      <c r="AW345" s="341"/>
      <c r="AX345" s="341"/>
      <c r="AY345" s="341"/>
      <c r="AZ345" s="341"/>
      <c r="BA345" s="341"/>
      <c r="BB345" s="341"/>
      <c r="BC345" s="341"/>
      <c r="BD345" s="341"/>
      <c r="BE345" s="341"/>
      <c r="BF345" s="341"/>
      <c r="BG345" s="341"/>
      <c r="BH345" s="341"/>
      <c r="BI345" s="341"/>
      <c r="BJ345" s="341"/>
      <c r="BK345" s="341"/>
      <c r="BL345" s="341"/>
      <c r="BM345" s="341"/>
      <c r="BN345" s="341"/>
      <c r="BO345" s="341"/>
      <c r="BP345" s="341"/>
      <c r="BQ345" s="341"/>
      <c r="BR345" s="341"/>
      <c r="BS345" s="341"/>
      <c r="BT345" s="341"/>
      <c r="BU345" s="341"/>
    </row>
    <row r="346" spans="2:73" ht="13.5" customHeight="1" x14ac:dyDescent="0.2">
      <c r="B346" s="25"/>
      <c r="C346" s="53"/>
      <c r="D346" s="19"/>
      <c r="E346" s="19"/>
      <c r="F346" s="19"/>
      <c r="G346" s="19"/>
      <c r="H346" s="19"/>
      <c r="I346" s="19"/>
      <c r="J346" s="156"/>
      <c r="K346" s="156"/>
      <c r="L346" s="156"/>
      <c r="M346" s="376"/>
      <c r="N346" s="389">
        <f t="shared" si="56"/>
        <v>852.8</v>
      </c>
      <c r="P346" s="345"/>
      <c r="Q346" s="351"/>
      <c r="R346" s="351"/>
      <c r="S346" s="351"/>
      <c r="T346" s="351"/>
      <c r="U346" s="347"/>
      <c r="V346" s="345"/>
      <c r="W346" s="341"/>
      <c r="X346" s="341"/>
      <c r="Y346" s="341"/>
      <c r="Z346" s="341"/>
      <c r="AA346" s="341"/>
      <c r="AB346" s="341"/>
      <c r="AC346" s="341"/>
      <c r="AD346" s="341"/>
      <c r="AE346" s="341"/>
      <c r="AF346" s="341"/>
      <c r="AG346" s="341"/>
      <c r="AH346" s="341"/>
      <c r="AI346" s="341"/>
      <c r="AJ346" s="341"/>
      <c r="AK346" s="341"/>
      <c r="AL346" s="341"/>
      <c r="AM346" s="341"/>
      <c r="AN346" s="341"/>
      <c r="AO346" s="341"/>
      <c r="AP346" s="341"/>
      <c r="AQ346" s="341"/>
      <c r="AR346" s="341"/>
      <c r="AS346" s="341"/>
      <c r="AT346" s="341"/>
      <c r="AU346" s="341"/>
      <c r="AV346" s="341"/>
      <c r="AW346" s="341"/>
      <c r="AX346" s="341"/>
      <c r="AY346" s="341"/>
      <c r="AZ346" s="341"/>
      <c r="BA346" s="341"/>
      <c r="BB346" s="341"/>
      <c r="BC346" s="341"/>
      <c r="BD346" s="341"/>
      <c r="BE346" s="341"/>
      <c r="BF346" s="341"/>
      <c r="BG346" s="341"/>
      <c r="BH346" s="341"/>
      <c r="BI346" s="341"/>
      <c r="BJ346" s="341"/>
      <c r="BK346" s="341"/>
      <c r="BL346" s="341"/>
      <c r="BM346" s="341"/>
      <c r="BN346" s="341"/>
      <c r="BO346" s="341"/>
      <c r="BP346" s="341"/>
      <c r="BQ346" s="341"/>
      <c r="BR346" s="341"/>
      <c r="BS346" s="341"/>
      <c r="BT346" s="341"/>
      <c r="BU346" s="341"/>
    </row>
    <row r="347" spans="2:73" ht="9" customHeight="1" x14ac:dyDescent="0.2">
      <c r="B347" s="25"/>
      <c r="C347" s="54"/>
      <c r="D347" s="55"/>
      <c r="E347" s="55"/>
      <c r="F347" s="55"/>
      <c r="G347" s="55"/>
      <c r="H347" s="55"/>
      <c r="I347" s="55"/>
      <c r="J347" s="157"/>
      <c r="K347" s="157"/>
      <c r="L347" s="157"/>
      <c r="M347" s="377"/>
      <c r="N347" s="390"/>
      <c r="P347" s="351"/>
      <c r="Q347" s="351"/>
      <c r="R347" s="351"/>
      <c r="S347" s="351"/>
      <c r="T347" s="351"/>
      <c r="U347" s="345"/>
      <c r="V347" s="345"/>
      <c r="W347" s="341"/>
      <c r="X347" s="341"/>
      <c r="Y347" s="341"/>
      <c r="Z347" s="341"/>
      <c r="AA347" s="341"/>
      <c r="AB347" s="341"/>
      <c r="AC347" s="341"/>
      <c r="AD347" s="341"/>
      <c r="AE347" s="341"/>
      <c r="AF347" s="341"/>
      <c r="AG347" s="341"/>
      <c r="AH347" s="341"/>
      <c r="AI347" s="341"/>
      <c r="AJ347" s="341"/>
      <c r="AK347" s="341"/>
      <c r="AL347" s="341"/>
      <c r="AM347" s="341"/>
      <c r="AN347" s="341"/>
      <c r="AO347" s="341"/>
      <c r="AP347" s="341"/>
      <c r="AQ347" s="341"/>
      <c r="AR347" s="341"/>
      <c r="AS347" s="341"/>
      <c r="AT347" s="341"/>
      <c r="AU347" s="341"/>
      <c r="AV347" s="341"/>
      <c r="AW347" s="341"/>
      <c r="AX347" s="341"/>
      <c r="AY347" s="341"/>
      <c r="AZ347" s="341"/>
      <c r="BA347" s="341"/>
      <c r="BB347" s="341"/>
      <c r="BC347" s="341"/>
      <c r="BD347" s="341"/>
      <c r="BE347" s="341"/>
      <c r="BF347" s="341"/>
      <c r="BG347" s="341"/>
      <c r="BH347" s="341"/>
      <c r="BI347" s="341"/>
      <c r="BJ347" s="341"/>
      <c r="BK347" s="341"/>
      <c r="BL347" s="341"/>
      <c r="BM347" s="341"/>
      <c r="BN347" s="341"/>
      <c r="BO347" s="341"/>
      <c r="BP347" s="341"/>
      <c r="BQ347" s="341"/>
      <c r="BR347" s="341"/>
      <c r="BS347" s="341"/>
      <c r="BT347" s="341"/>
      <c r="BU347" s="341"/>
    </row>
    <row r="348" spans="2:73" x14ac:dyDescent="0.2">
      <c r="B348" s="25"/>
      <c r="C348" s="440" t="s">
        <v>14</v>
      </c>
      <c r="D348" s="441"/>
      <c r="E348" s="441"/>
      <c r="F348" s="441"/>
      <c r="G348" s="441"/>
      <c r="H348" s="441"/>
      <c r="I348" s="442"/>
      <c r="J348" s="450">
        <v>0</v>
      </c>
      <c r="K348" s="436"/>
      <c r="L348" s="451"/>
      <c r="M348" s="378"/>
      <c r="N348" s="391">
        <f>SUM(J348)</f>
        <v>0</v>
      </c>
      <c r="P348" s="352"/>
      <c r="Q348" s="353"/>
      <c r="R348" s="353"/>
      <c r="S348" s="353"/>
      <c r="T348" s="353"/>
      <c r="U348" s="340"/>
      <c r="W348" s="341"/>
      <c r="X348" s="341"/>
      <c r="Y348" s="341"/>
      <c r="Z348" s="341"/>
      <c r="AA348" s="341"/>
      <c r="AB348" s="341"/>
      <c r="AC348" s="341"/>
      <c r="AD348" s="341"/>
      <c r="AE348" s="341"/>
      <c r="AF348" s="341"/>
      <c r="AG348" s="341"/>
      <c r="AH348" s="341"/>
      <c r="AI348" s="341"/>
      <c r="AJ348" s="341"/>
      <c r="AK348" s="341"/>
      <c r="AL348" s="341"/>
      <c r="AM348" s="341"/>
      <c r="AN348" s="341"/>
      <c r="AO348" s="341"/>
      <c r="AP348" s="341"/>
      <c r="AQ348" s="341"/>
      <c r="AR348" s="341"/>
      <c r="AS348" s="341"/>
      <c r="AT348" s="341"/>
      <c r="AU348" s="341"/>
      <c r="AV348" s="341"/>
      <c r="AW348" s="341"/>
      <c r="AX348" s="341"/>
      <c r="AY348" s="341"/>
      <c r="AZ348" s="341"/>
      <c r="BA348" s="341"/>
      <c r="BB348" s="341"/>
      <c r="BC348" s="341"/>
      <c r="BD348" s="341"/>
      <c r="BE348" s="341"/>
      <c r="BF348" s="341"/>
      <c r="BG348" s="341"/>
      <c r="BH348" s="341"/>
      <c r="BI348" s="341"/>
      <c r="BJ348" s="341"/>
      <c r="BK348" s="341"/>
      <c r="BL348" s="341"/>
      <c r="BM348" s="341"/>
      <c r="BN348" s="341"/>
      <c r="BO348" s="341"/>
      <c r="BP348" s="341"/>
      <c r="BQ348" s="341"/>
      <c r="BR348" s="341"/>
      <c r="BS348" s="341"/>
      <c r="BT348" s="341"/>
      <c r="BU348" s="341"/>
    </row>
    <row r="349" spans="2:73" ht="15" customHeight="1" x14ac:dyDescent="0.2">
      <c r="B349" s="25"/>
      <c r="C349" s="56"/>
      <c r="D349" s="56"/>
      <c r="E349" s="56"/>
      <c r="F349" s="56"/>
      <c r="G349" s="56"/>
      <c r="H349" s="56"/>
      <c r="I349" s="56"/>
      <c r="K349" s="146"/>
      <c r="M349" s="379"/>
      <c r="N349" s="379"/>
      <c r="P349" s="353"/>
      <c r="Q349" s="353"/>
      <c r="R349" s="353"/>
      <c r="S349" s="353"/>
      <c r="T349" s="353"/>
      <c r="U349" s="340"/>
      <c r="W349" s="341"/>
      <c r="X349" s="341"/>
      <c r="Y349" s="341"/>
      <c r="Z349" s="341"/>
      <c r="AA349" s="341"/>
      <c r="AB349" s="341"/>
      <c r="AC349" s="341"/>
      <c r="AD349" s="341"/>
      <c r="AE349" s="341"/>
      <c r="AF349" s="341"/>
      <c r="AG349" s="341"/>
      <c r="AH349" s="341"/>
      <c r="AI349" s="341"/>
      <c r="AJ349" s="341"/>
      <c r="AK349" s="341"/>
      <c r="AL349" s="341"/>
      <c r="AM349" s="341"/>
      <c r="AN349" s="341"/>
      <c r="AO349" s="341"/>
      <c r="AP349" s="341"/>
      <c r="AQ349" s="341"/>
      <c r="AR349" s="341"/>
      <c r="AS349" s="341"/>
      <c r="AT349" s="341"/>
      <c r="AU349" s="341"/>
      <c r="AV349" s="341"/>
      <c r="AW349" s="341"/>
      <c r="AX349" s="341"/>
      <c r="AY349" s="341"/>
      <c r="AZ349" s="341"/>
      <c r="BA349" s="341"/>
      <c r="BB349" s="341"/>
      <c r="BC349" s="341"/>
      <c r="BD349" s="341"/>
      <c r="BE349" s="341"/>
      <c r="BF349" s="341"/>
      <c r="BG349" s="341"/>
      <c r="BH349" s="341"/>
      <c r="BI349" s="341"/>
      <c r="BJ349" s="341"/>
      <c r="BK349" s="341"/>
      <c r="BL349" s="341"/>
      <c r="BM349" s="341"/>
      <c r="BN349" s="341"/>
      <c r="BO349" s="341"/>
      <c r="BP349" s="341"/>
      <c r="BQ349" s="341"/>
      <c r="BR349" s="341"/>
      <c r="BS349" s="341"/>
      <c r="BT349" s="341"/>
      <c r="BU349" s="341"/>
    </row>
    <row r="350" spans="2:73" ht="14.25" customHeight="1" x14ac:dyDescent="0.2">
      <c r="B350" s="25"/>
      <c r="C350" s="438" t="s">
        <v>15</v>
      </c>
      <c r="D350" s="439"/>
      <c r="E350" s="439"/>
      <c r="F350" s="439"/>
      <c r="G350" s="439"/>
      <c r="H350" s="439"/>
      <c r="I350" s="439"/>
      <c r="J350" s="439"/>
      <c r="K350" s="439"/>
      <c r="L350" s="439"/>
      <c r="M350" s="439"/>
      <c r="N350" s="439"/>
      <c r="P350" s="353"/>
      <c r="Q350" s="353"/>
      <c r="R350" s="353"/>
      <c r="S350" s="353"/>
      <c r="T350" s="353"/>
      <c r="U350" s="340"/>
      <c r="W350" s="341"/>
      <c r="X350" s="341"/>
      <c r="Y350" s="341"/>
      <c r="Z350" s="341"/>
      <c r="AA350" s="341"/>
      <c r="AB350" s="341"/>
      <c r="AC350" s="341"/>
      <c r="AD350" s="341"/>
      <c r="AE350" s="341"/>
      <c r="AF350" s="341"/>
      <c r="AG350" s="341"/>
      <c r="AH350" s="341"/>
      <c r="AI350" s="341"/>
      <c r="AJ350" s="341"/>
      <c r="AK350" s="341"/>
      <c r="AL350" s="341"/>
      <c r="AM350" s="341"/>
      <c r="AN350" s="341"/>
      <c r="AO350" s="341"/>
      <c r="AP350" s="341"/>
      <c r="AQ350" s="341"/>
      <c r="AR350" s="341"/>
      <c r="AS350" s="341"/>
      <c r="AT350" s="341"/>
      <c r="AU350" s="341"/>
      <c r="AV350" s="341"/>
      <c r="AW350" s="341"/>
      <c r="AX350" s="341"/>
      <c r="AY350" s="341"/>
      <c r="AZ350" s="341"/>
      <c r="BA350" s="341"/>
      <c r="BB350" s="341"/>
      <c r="BC350" s="341"/>
      <c r="BD350" s="341"/>
      <c r="BE350" s="341"/>
      <c r="BF350" s="341"/>
      <c r="BG350" s="341"/>
      <c r="BH350" s="341"/>
      <c r="BI350" s="341"/>
      <c r="BJ350" s="341"/>
      <c r="BK350" s="341"/>
      <c r="BL350" s="341"/>
      <c r="BM350" s="341"/>
      <c r="BN350" s="341"/>
      <c r="BO350" s="341"/>
      <c r="BP350" s="341"/>
      <c r="BQ350" s="341"/>
      <c r="BR350" s="341"/>
      <c r="BS350" s="341"/>
      <c r="BT350" s="341"/>
      <c r="BU350" s="341"/>
    </row>
    <row r="351" spans="2:73" x14ac:dyDescent="0.2">
      <c r="B351" s="25"/>
      <c r="C351" s="7"/>
      <c r="D351" s="5"/>
      <c r="E351" s="5"/>
      <c r="F351" s="5"/>
      <c r="G351" s="5"/>
      <c r="H351" s="5"/>
      <c r="I351" s="5"/>
      <c r="J351" s="159"/>
      <c r="K351" s="159"/>
      <c r="L351" s="159"/>
      <c r="M351" s="5"/>
      <c r="N351" s="367"/>
      <c r="W351" s="341"/>
      <c r="X351" s="341"/>
      <c r="Y351" s="341"/>
      <c r="Z351" s="341"/>
      <c r="AA351" s="341"/>
      <c r="AB351" s="341"/>
      <c r="AC351" s="341"/>
      <c r="AD351" s="341"/>
      <c r="AE351" s="341"/>
      <c r="AF351" s="341"/>
      <c r="AG351" s="341"/>
      <c r="AH351" s="341"/>
      <c r="AI351" s="341"/>
      <c r="AJ351" s="341"/>
      <c r="AK351" s="341"/>
      <c r="AL351" s="341"/>
      <c r="AM351" s="341"/>
      <c r="AN351" s="341"/>
      <c r="AO351" s="341"/>
      <c r="AP351" s="341"/>
      <c r="AQ351" s="341"/>
      <c r="AR351" s="341"/>
      <c r="AS351" s="341"/>
      <c r="AT351" s="341"/>
      <c r="AU351" s="341"/>
      <c r="AV351" s="341"/>
      <c r="AW351" s="341"/>
      <c r="AX351" s="341"/>
      <c r="AY351" s="341"/>
      <c r="AZ351" s="341"/>
      <c r="BA351" s="341"/>
      <c r="BB351" s="341"/>
      <c r="BC351" s="341"/>
      <c r="BD351" s="341"/>
      <c r="BE351" s="341"/>
      <c r="BF351" s="341"/>
      <c r="BG351" s="341"/>
      <c r="BH351" s="341"/>
      <c r="BI351" s="341"/>
      <c r="BJ351" s="341"/>
      <c r="BK351" s="341"/>
      <c r="BL351" s="341"/>
      <c r="BM351" s="341"/>
      <c r="BN351" s="341"/>
      <c r="BO351" s="341"/>
      <c r="BP351" s="341"/>
      <c r="BQ351" s="341"/>
      <c r="BR351" s="341"/>
      <c r="BS351" s="341"/>
      <c r="BT351" s="341"/>
      <c r="BU351" s="341"/>
    </row>
    <row r="352" spans="2:73" x14ac:dyDescent="0.2">
      <c r="B352" s="25"/>
      <c r="C352" s="9" t="s">
        <v>29</v>
      </c>
      <c r="D352" s="4"/>
      <c r="E352" s="4"/>
      <c r="F352" s="4"/>
      <c r="G352" s="4"/>
      <c r="H352" s="4"/>
      <c r="I352" s="4"/>
      <c r="J352" s="160"/>
      <c r="K352" s="161"/>
      <c r="L352" s="161"/>
      <c r="M352" s="368"/>
      <c r="N352" s="367"/>
      <c r="W352" s="341"/>
      <c r="X352" s="341"/>
      <c r="Y352" s="341"/>
      <c r="Z352" s="341"/>
      <c r="AA352" s="341"/>
      <c r="AB352" s="341"/>
      <c r="AC352" s="341"/>
      <c r="AD352" s="341"/>
      <c r="AE352" s="341"/>
      <c r="AF352" s="341"/>
      <c r="AG352" s="341"/>
      <c r="AH352" s="341"/>
      <c r="AI352" s="341"/>
      <c r="AJ352" s="341"/>
      <c r="AK352" s="341"/>
      <c r="AL352" s="341"/>
      <c r="AM352" s="341"/>
      <c r="AN352" s="341"/>
      <c r="AO352" s="341"/>
      <c r="AP352" s="341"/>
      <c r="AQ352" s="341"/>
      <c r="AR352" s="341"/>
      <c r="AS352" s="341"/>
      <c r="AT352" s="341"/>
      <c r="AU352" s="341"/>
      <c r="AV352" s="341"/>
      <c r="AW352" s="341"/>
      <c r="AX352" s="341"/>
      <c r="AY352" s="341"/>
      <c r="AZ352" s="341"/>
      <c r="BA352" s="341"/>
      <c r="BB352" s="341"/>
      <c r="BC352" s="341"/>
      <c r="BD352" s="341"/>
      <c r="BE352" s="341"/>
      <c r="BF352" s="341"/>
      <c r="BG352" s="341"/>
      <c r="BH352" s="341"/>
      <c r="BI352" s="341"/>
      <c r="BJ352" s="341"/>
      <c r="BK352" s="341"/>
      <c r="BL352" s="341"/>
      <c r="BM352" s="341"/>
      <c r="BN352" s="341"/>
      <c r="BO352" s="341"/>
      <c r="BP352" s="341"/>
      <c r="BQ352" s="341"/>
      <c r="BR352" s="341"/>
      <c r="BS352" s="341"/>
      <c r="BT352" s="341"/>
      <c r="BU352" s="341"/>
    </row>
    <row r="353" spans="2:73" x14ac:dyDescent="0.2">
      <c r="B353" s="25"/>
      <c r="C353" s="57"/>
      <c r="D353" s="4"/>
      <c r="E353" s="58" t="s">
        <v>339</v>
      </c>
      <c r="F353" s="58"/>
      <c r="G353" s="58"/>
      <c r="H353" s="58"/>
      <c r="I353" s="4"/>
      <c r="J353" s="162"/>
      <c r="K353" s="161"/>
      <c r="L353" s="161"/>
      <c r="M353" s="368"/>
      <c r="N353" s="367"/>
      <c r="W353" s="341"/>
      <c r="X353" s="341"/>
      <c r="Y353" s="341"/>
      <c r="Z353" s="341"/>
      <c r="AA353" s="341"/>
      <c r="AB353" s="341"/>
      <c r="AC353" s="341"/>
      <c r="AD353" s="341"/>
      <c r="AE353" s="341"/>
      <c r="AF353" s="341"/>
      <c r="AG353" s="341"/>
      <c r="AH353" s="341"/>
      <c r="AI353" s="341"/>
      <c r="AJ353" s="341"/>
      <c r="AK353" s="341"/>
      <c r="AL353" s="341"/>
      <c r="AM353" s="341"/>
      <c r="AN353" s="341"/>
      <c r="AO353" s="341"/>
      <c r="AP353" s="341"/>
      <c r="AQ353" s="341"/>
      <c r="AR353" s="341"/>
      <c r="AS353" s="341"/>
      <c r="AT353" s="341"/>
      <c r="AU353" s="341"/>
      <c r="AV353" s="341"/>
      <c r="AW353" s="341"/>
      <c r="AX353" s="341"/>
      <c r="AY353" s="341"/>
      <c r="AZ353" s="341"/>
      <c r="BA353" s="341"/>
      <c r="BB353" s="341"/>
      <c r="BC353" s="341"/>
      <c r="BD353" s="341"/>
      <c r="BE353" s="341"/>
      <c r="BF353" s="341"/>
      <c r="BG353" s="341"/>
      <c r="BH353" s="341"/>
      <c r="BI353" s="341"/>
      <c r="BJ353" s="341"/>
      <c r="BK353" s="341"/>
      <c r="BL353" s="341"/>
      <c r="BM353" s="341"/>
      <c r="BN353" s="341"/>
      <c r="BO353" s="341"/>
      <c r="BP353" s="341"/>
      <c r="BQ353" s="341"/>
      <c r="BR353" s="341"/>
      <c r="BS353" s="341"/>
      <c r="BT353" s="341"/>
      <c r="BU353" s="341"/>
    </row>
    <row r="354" spans="2:73" x14ac:dyDescent="0.2">
      <c r="B354" s="25"/>
      <c r="C354" s="57"/>
      <c r="D354" s="59"/>
      <c r="E354" s="60" t="s">
        <v>106</v>
      </c>
      <c r="F354" s="59"/>
      <c r="G354" s="59"/>
      <c r="H354" s="17">
        <f>R320</f>
        <v>30</v>
      </c>
      <c r="I354" s="3"/>
      <c r="J354" s="163"/>
      <c r="K354" s="164"/>
      <c r="L354" s="164"/>
      <c r="M354" s="380"/>
      <c r="N354" s="392" t="str">
        <f>IF(S316=C309,C309,"")</f>
        <v>Sonderfall!</v>
      </c>
      <c r="W354" s="341"/>
      <c r="X354" s="341"/>
      <c r="Y354" s="341"/>
      <c r="Z354" s="341"/>
      <c r="AA354" s="341"/>
      <c r="AB354" s="341"/>
      <c r="AC354" s="341"/>
      <c r="AD354" s="341"/>
      <c r="AE354" s="341"/>
      <c r="AF354" s="341"/>
      <c r="AG354" s="341"/>
      <c r="AH354" s="341"/>
      <c r="AI354" s="341"/>
      <c r="AJ354" s="341"/>
      <c r="AK354" s="341"/>
      <c r="AL354" s="341"/>
      <c r="AM354" s="341"/>
      <c r="AN354" s="341"/>
      <c r="AO354" s="341"/>
      <c r="AP354" s="341"/>
      <c r="AQ354" s="341"/>
      <c r="AR354" s="341"/>
      <c r="AS354" s="341"/>
      <c r="AT354" s="341"/>
      <c r="AU354" s="341"/>
      <c r="AV354" s="341"/>
      <c r="AW354" s="341"/>
      <c r="AX354" s="341"/>
      <c r="AY354" s="341"/>
      <c r="AZ354" s="341"/>
      <c r="BA354" s="341"/>
      <c r="BB354" s="341"/>
      <c r="BC354" s="341"/>
      <c r="BD354" s="341"/>
      <c r="BE354" s="341"/>
      <c r="BF354" s="341"/>
      <c r="BG354" s="341"/>
      <c r="BH354" s="341"/>
      <c r="BI354" s="341"/>
      <c r="BJ354" s="341"/>
      <c r="BK354" s="341"/>
      <c r="BL354" s="341"/>
      <c r="BM354" s="341"/>
      <c r="BN354" s="341"/>
      <c r="BO354" s="341"/>
      <c r="BP354" s="341"/>
      <c r="BQ354" s="341"/>
      <c r="BR354" s="341"/>
      <c r="BS354" s="341"/>
      <c r="BT354" s="341"/>
      <c r="BU354" s="341"/>
    </row>
    <row r="355" spans="2:73" x14ac:dyDescent="0.2">
      <c r="B355" s="25"/>
      <c r="C355" s="57"/>
      <c r="D355" s="60"/>
      <c r="E355" s="60" t="s">
        <v>108</v>
      </c>
      <c r="F355" s="60"/>
      <c r="G355" s="60"/>
      <c r="H355" s="98"/>
      <c r="I355" s="62" t="s">
        <v>107</v>
      </c>
      <c r="J355" s="422">
        <f>U320</f>
        <v>29</v>
      </c>
      <c r="K355" s="423"/>
      <c r="L355" s="424"/>
      <c r="M355" s="381"/>
      <c r="N355" s="393">
        <f>IF(L367=H315,"- - -",F325)</f>
        <v>765</v>
      </c>
      <c r="W355" s="341"/>
      <c r="X355" s="341"/>
      <c r="Y355" s="341"/>
      <c r="Z355" s="341"/>
      <c r="AA355" s="341"/>
      <c r="AB355" s="341"/>
      <c r="AC355" s="341"/>
      <c r="AD355" s="341"/>
      <c r="AE355" s="341"/>
      <c r="AF355" s="341"/>
      <c r="AG355" s="341"/>
      <c r="AH355" s="341"/>
      <c r="AI355" s="341"/>
      <c r="AJ355" s="341"/>
      <c r="AK355" s="341"/>
      <c r="AL355" s="341"/>
      <c r="AM355" s="341"/>
      <c r="AN355" s="341"/>
      <c r="AO355" s="341"/>
      <c r="AP355" s="341"/>
      <c r="AQ355" s="341"/>
      <c r="AR355" s="341"/>
      <c r="AS355" s="341"/>
      <c r="AT355" s="341"/>
      <c r="AU355" s="341"/>
      <c r="AV355" s="341"/>
      <c r="AW355" s="341"/>
      <c r="AX355" s="341"/>
      <c r="AY355" s="341"/>
      <c r="AZ355" s="341"/>
      <c r="BA355" s="341"/>
      <c r="BB355" s="341"/>
      <c r="BC355" s="341"/>
      <c r="BD355" s="341"/>
      <c r="BE355" s="341"/>
      <c r="BF355" s="341"/>
      <c r="BG355" s="341"/>
      <c r="BH355" s="341"/>
      <c r="BI355" s="341"/>
      <c r="BJ355" s="341"/>
      <c r="BK355" s="341"/>
      <c r="BL355" s="341"/>
      <c r="BM355" s="341"/>
      <c r="BN355" s="341"/>
      <c r="BO355" s="341"/>
      <c r="BP355" s="341"/>
      <c r="BQ355" s="341"/>
      <c r="BR355" s="341"/>
      <c r="BS355" s="341"/>
      <c r="BT355" s="341"/>
      <c r="BU355" s="341"/>
    </row>
    <row r="356" spans="2:73" x14ac:dyDescent="0.2">
      <c r="B356" s="25"/>
      <c r="C356" s="63"/>
      <c r="D356" s="60"/>
      <c r="E356" s="60"/>
      <c r="F356" s="60"/>
      <c r="G356" s="60"/>
      <c r="H356" s="58"/>
      <c r="I356" s="62" t="s">
        <v>109</v>
      </c>
      <c r="J356" s="429"/>
      <c r="K356" s="430"/>
      <c r="L356" s="431"/>
      <c r="M356" s="381"/>
      <c r="N356" s="367"/>
      <c r="W356" s="341"/>
      <c r="X356" s="341"/>
      <c r="Y356" s="341"/>
      <c r="Z356" s="341"/>
      <c r="AA356" s="341"/>
      <c r="AB356" s="341"/>
      <c r="AC356" s="341"/>
      <c r="AD356" s="341"/>
      <c r="AE356" s="341"/>
      <c r="AF356" s="341"/>
      <c r="AG356" s="341"/>
      <c r="AH356" s="341"/>
      <c r="AI356" s="341"/>
      <c r="AJ356" s="341"/>
      <c r="AK356" s="341"/>
      <c r="AL356" s="341"/>
      <c r="AM356" s="341"/>
      <c r="AN356" s="341"/>
      <c r="AO356" s="341"/>
      <c r="AP356" s="341"/>
      <c r="AQ356" s="341"/>
      <c r="AR356" s="341"/>
      <c r="AS356" s="341"/>
      <c r="AT356" s="341"/>
      <c r="AU356" s="341"/>
      <c r="AV356" s="341"/>
      <c r="AW356" s="341"/>
      <c r="AX356" s="341"/>
      <c r="AY356" s="341"/>
      <c r="AZ356" s="341"/>
      <c r="BA356" s="341"/>
      <c r="BB356" s="341"/>
      <c r="BC356" s="341"/>
      <c r="BD356" s="341"/>
      <c r="BE356" s="341"/>
      <c r="BF356" s="341"/>
      <c r="BG356" s="341"/>
      <c r="BH356" s="341"/>
      <c r="BI356" s="341"/>
      <c r="BJ356" s="341"/>
      <c r="BK356" s="341"/>
      <c r="BL356" s="341"/>
      <c r="BM356" s="341"/>
      <c r="BN356" s="341"/>
      <c r="BO356" s="341"/>
      <c r="BP356" s="341"/>
      <c r="BQ356" s="341"/>
      <c r="BR356" s="341"/>
      <c r="BS356" s="341"/>
      <c r="BT356" s="341"/>
      <c r="BU356" s="341"/>
    </row>
    <row r="357" spans="2:73" x14ac:dyDescent="0.2">
      <c r="B357" s="25"/>
      <c r="C357" s="57"/>
      <c r="D357" s="61"/>
      <c r="E357" s="61"/>
      <c r="F357" s="61"/>
      <c r="G357" s="61"/>
      <c r="H357" s="446"/>
      <c r="I357" s="446"/>
      <c r="J357" s="446"/>
      <c r="K357" s="446"/>
      <c r="L357" s="446"/>
      <c r="M357" s="447"/>
      <c r="N357" s="367"/>
      <c r="W357" s="341"/>
      <c r="X357" s="341"/>
      <c r="Y357" s="341"/>
      <c r="Z357" s="341"/>
      <c r="AA357" s="341"/>
      <c r="AB357" s="341"/>
      <c r="AC357" s="341"/>
      <c r="AD357" s="341"/>
      <c r="AE357" s="341"/>
      <c r="AF357" s="341"/>
      <c r="AG357" s="341"/>
      <c r="AH357" s="341"/>
      <c r="AI357" s="341"/>
      <c r="AJ357" s="341"/>
      <c r="AK357" s="341"/>
      <c r="AL357" s="341"/>
      <c r="AM357" s="341"/>
      <c r="AN357" s="341"/>
      <c r="AO357" s="341"/>
      <c r="AP357" s="341"/>
      <c r="AQ357" s="341"/>
      <c r="AR357" s="341"/>
      <c r="AS357" s="341"/>
      <c r="AT357" s="341"/>
      <c r="AU357" s="341"/>
      <c r="AV357" s="341"/>
      <c r="AW357" s="341"/>
      <c r="AX357" s="341"/>
      <c r="AY357" s="341"/>
      <c r="AZ357" s="341"/>
      <c r="BA357" s="341"/>
      <c r="BB357" s="341"/>
      <c r="BC357" s="341"/>
      <c r="BD357" s="341"/>
      <c r="BE357" s="341"/>
      <c r="BF357" s="341"/>
      <c r="BG357" s="341"/>
      <c r="BH357" s="341"/>
      <c r="BI357" s="341"/>
      <c r="BJ357" s="341"/>
      <c r="BK357" s="341"/>
      <c r="BL357" s="341"/>
      <c r="BM357" s="341"/>
      <c r="BN357" s="341"/>
      <c r="BO357" s="341"/>
      <c r="BP357" s="341"/>
      <c r="BQ357" s="341"/>
      <c r="BR357" s="341"/>
      <c r="BS357" s="341"/>
      <c r="BT357" s="341"/>
      <c r="BU357" s="341"/>
    </row>
    <row r="358" spans="2:73" x14ac:dyDescent="0.2">
      <c r="B358" s="25"/>
      <c r="C358" s="8" t="s">
        <v>30</v>
      </c>
      <c r="D358" s="6"/>
      <c r="E358" s="6"/>
      <c r="F358" s="6"/>
      <c r="G358" s="6"/>
      <c r="H358" s="6"/>
      <c r="I358" s="6"/>
      <c r="J358" s="435">
        <v>0</v>
      </c>
      <c r="K358" s="436"/>
      <c r="L358" s="437"/>
      <c r="M358" s="381"/>
      <c r="N358" s="394">
        <f>J358</f>
        <v>0</v>
      </c>
      <c r="W358" s="341"/>
      <c r="X358" s="341"/>
      <c r="Y358" s="341"/>
      <c r="Z358" s="341"/>
      <c r="AA358" s="341"/>
      <c r="AB358" s="341"/>
      <c r="AC358" s="341"/>
      <c r="AD358" s="341"/>
      <c r="AE358" s="341"/>
      <c r="AF358" s="341"/>
      <c r="AG358" s="341"/>
      <c r="AH358" s="341"/>
      <c r="AI358" s="341"/>
      <c r="AJ358" s="341"/>
      <c r="AK358" s="341"/>
      <c r="AL358" s="341"/>
      <c r="AM358" s="341"/>
      <c r="AN358" s="341"/>
      <c r="AO358" s="341"/>
      <c r="AP358" s="341"/>
      <c r="AQ358" s="341"/>
      <c r="AR358" s="341"/>
      <c r="AS358" s="341"/>
      <c r="AT358" s="341"/>
      <c r="AU358" s="341"/>
      <c r="AV358" s="341"/>
      <c r="AW358" s="341"/>
      <c r="AX358" s="341"/>
      <c r="AY358" s="341"/>
      <c r="AZ358" s="341"/>
      <c r="BA358" s="341"/>
      <c r="BB358" s="341"/>
      <c r="BC358" s="341"/>
      <c r="BD358" s="341"/>
      <c r="BE358" s="341"/>
      <c r="BF358" s="341"/>
      <c r="BG358" s="341"/>
      <c r="BH358" s="341"/>
      <c r="BI358" s="341"/>
      <c r="BJ358" s="341"/>
      <c r="BK358" s="341"/>
      <c r="BL358" s="341"/>
      <c r="BM358" s="341"/>
      <c r="BN358" s="341"/>
      <c r="BO358" s="341"/>
      <c r="BP358" s="341"/>
      <c r="BQ358" s="341"/>
      <c r="BR358" s="341"/>
      <c r="BS358" s="341"/>
      <c r="BT358" s="341"/>
      <c r="BU358" s="341"/>
    </row>
    <row r="359" spans="2:73" x14ac:dyDescent="0.2">
      <c r="B359" s="25"/>
      <c r="C359" s="14"/>
      <c r="D359" s="3"/>
      <c r="E359" s="3"/>
      <c r="F359" s="3"/>
      <c r="G359" s="3"/>
      <c r="H359" s="448"/>
      <c r="I359" s="448"/>
      <c r="J359" s="448"/>
      <c r="K359" s="448"/>
      <c r="L359" s="448"/>
      <c r="M359" s="449"/>
      <c r="N359" s="395"/>
      <c r="W359" s="341"/>
      <c r="X359" s="341"/>
      <c r="Y359" s="341"/>
      <c r="Z359" s="341"/>
      <c r="AA359" s="341"/>
      <c r="AB359" s="341"/>
      <c r="AC359" s="341"/>
      <c r="AD359" s="341"/>
      <c r="AE359" s="341"/>
      <c r="AF359" s="341"/>
      <c r="AG359" s="341"/>
      <c r="AH359" s="341"/>
      <c r="AI359" s="341"/>
      <c r="AJ359" s="341"/>
      <c r="AK359" s="341"/>
      <c r="AL359" s="341"/>
      <c r="AM359" s="341"/>
      <c r="AN359" s="341"/>
      <c r="AO359" s="341"/>
      <c r="AP359" s="341"/>
      <c r="AQ359" s="341"/>
      <c r="AR359" s="341"/>
      <c r="AS359" s="341"/>
      <c r="AT359" s="341"/>
      <c r="AU359" s="341"/>
      <c r="AV359" s="341"/>
      <c r="AW359" s="341"/>
      <c r="AX359" s="341"/>
      <c r="AY359" s="341"/>
      <c r="AZ359" s="341"/>
      <c r="BA359" s="341"/>
      <c r="BB359" s="341"/>
      <c r="BC359" s="341"/>
      <c r="BD359" s="341"/>
      <c r="BE359" s="341"/>
      <c r="BF359" s="341"/>
      <c r="BG359" s="341"/>
      <c r="BH359" s="341"/>
      <c r="BI359" s="341"/>
      <c r="BJ359" s="341"/>
      <c r="BK359" s="341"/>
      <c r="BL359" s="341"/>
      <c r="BM359" s="341"/>
      <c r="BN359" s="341"/>
      <c r="BO359" s="341"/>
      <c r="BP359" s="341"/>
      <c r="BQ359" s="341"/>
      <c r="BR359" s="341"/>
      <c r="BS359" s="341"/>
      <c r="BT359" s="341"/>
      <c r="BU359" s="341"/>
    </row>
    <row r="360" spans="2:73" x14ac:dyDescent="0.2">
      <c r="B360" s="25"/>
      <c r="C360" s="10" t="s">
        <v>31</v>
      </c>
      <c r="D360" s="11"/>
      <c r="E360" s="11"/>
      <c r="F360" s="11"/>
      <c r="G360" s="11"/>
      <c r="H360" s="11"/>
      <c r="I360" s="11"/>
      <c r="J360" s="435">
        <v>0</v>
      </c>
      <c r="K360" s="436"/>
      <c r="L360" s="437"/>
      <c r="M360" s="382"/>
      <c r="N360" s="396">
        <f>J360</f>
        <v>0</v>
      </c>
      <c r="W360" s="341"/>
      <c r="X360" s="341"/>
      <c r="Y360" s="341"/>
      <c r="Z360" s="341"/>
      <c r="AA360" s="341"/>
      <c r="AB360" s="341"/>
      <c r="AC360" s="341"/>
      <c r="AD360" s="341"/>
      <c r="AE360" s="341"/>
      <c r="AF360" s="341"/>
      <c r="AG360" s="341"/>
      <c r="AH360" s="341"/>
      <c r="AI360" s="341"/>
      <c r="AJ360" s="341"/>
      <c r="AK360" s="341"/>
      <c r="AL360" s="341"/>
      <c r="AM360" s="341"/>
      <c r="AN360" s="341"/>
      <c r="AO360" s="341"/>
      <c r="AP360" s="341"/>
      <c r="AQ360" s="341"/>
      <c r="AR360" s="341"/>
      <c r="AS360" s="341"/>
      <c r="AT360" s="341"/>
      <c r="AU360" s="341"/>
      <c r="AV360" s="341"/>
      <c r="AW360" s="341"/>
      <c r="AX360" s="341"/>
      <c r="AY360" s="341"/>
      <c r="AZ360" s="341"/>
      <c r="BA360" s="341"/>
      <c r="BB360" s="341"/>
      <c r="BC360" s="341"/>
      <c r="BD360" s="341"/>
      <c r="BE360" s="341"/>
      <c r="BF360" s="341"/>
      <c r="BG360" s="341"/>
      <c r="BH360" s="341"/>
      <c r="BI360" s="341"/>
      <c r="BJ360" s="341"/>
      <c r="BK360" s="341"/>
      <c r="BL360" s="341"/>
      <c r="BM360" s="341"/>
      <c r="BN360" s="341"/>
      <c r="BO360" s="341"/>
      <c r="BP360" s="341"/>
      <c r="BQ360" s="341"/>
      <c r="BR360" s="341"/>
      <c r="BS360" s="341"/>
      <c r="BT360" s="341"/>
      <c r="BU360" s="341"/>
    </row>
    <row r="361" spans="2:73" ht="9" customHeight="1" x14ac:dyDescent="0.2">
      <c r="B361" s="25"/>
      <c r="C361" s="80"/>
      <c r="D361" s="81"/>
      <c r="E361" s="81"/>
      <c r="F361" s="81"/>
      <c r="G361" s="81"/>
      <c r="H361" s="81"/>
      <c r="I361" s="81"/>
      <c r="J361" s="165"/>
      <c r="K361" s="165"/>
      <c r="L361" s="166"/>
      <c r="M361" s="383"/>
      <c r="N361" s="390"/>
      <c r="W361" s="341"/>
      <c r="X361" s="341"/>
      <c r="Y361" s="341"/>
      <c r="Z361" s="341"/>
      <c r="AA361" s="341"/>
      <c r="AB361" s="341"/>
      <c r="AC361" s="341"/>
      <c r="AD361" s="341"/>
      <c r="AE361" s="341"/>
      <c r="AF361" s="341"/>
      <c r="AG361" s="341"/>
      <c r="AH361" s="341"/>
      <c r="AI361" s="341"/>
      <c r="AJ361" s="341"/>
      <c r="AK361" s="341"/>
      <c r="AL361" s="341"/>
      <c r="AM361" s="341"/>
      <c r="AN361" s="341"/>
      <c r="AO361" s="341"/>
      <c r="AP361" s="341"/>
      <c r="AQ361" s="341"/>
      <c r="AR361" s="341"/>
      <c r="AS361" s="341"/>
      <c r="AT361" s="341"/>
      <c r="AU361" s="341"/>
      <c r="AV361" s="341"/>
      <c r="AW361" s="341"/>
      <c r="AX361" s="341"/>
      <c r="AY361" s="341"/>
      <c r="AZ361" s="341"/>
      <c r="BA361" s="341"/>
      <c r="BB361" s="341"/>
      <c r="BC361" s="341"/>
      <c r="BD361" s="341"/>
      <c r="BE361" s="341"/>
      <c r="BF361" s="341"/>
      <c r="BG361" s="341"/>
      <c r="BH361" s="341"/>
      <c r="BI361" s="341"/>
      <c r="BJ361" s="341"/>
      <c r="BK361" s="341"/>
      <c r="BL361" s="341"/>
      <c r="BM361" s="341"/>
      <c r="BN361" s="341"/>
      <c r="BO361" s="341"/>
      <c r="BP361" s="341"/>
      <c r="BQ361" s="341"/>
      <c r="BR361" s="341"/>
      <c r="BS361" s="341"/>
      <c r="BT361" s="341"/>
      <c r="BU361" s="341"/>
    </row>
    <row r="362" spans="2:73" x14ac:dyDescent="0.2">
      <c r="B362" s="25"/>
      <c r="C362" s="12" t="s">
        <v>28</v>
      </c>
      <c r="D362" s="13"/>
      <c r="E362" s="13"/>
      <c r="F362" s="13"/>
      <c r="G362" s="13"/>
      <c r="H362" s="13"/>
      <c r="I362" s="13"/>
      <c r="J362" s="167"/>
      <c r="K362" s="167"/>
      <c r="L362" s="167"/>
      <c r="M362" s="13"/>
      <c r="N362" s="397"/>
      <c r="W362" s="341"/>
      <c r="X362" s="341"/>
      <c r="Y362" s="341"/>
      <c r="Z362" s="341"/>
      <c r="AA362" s="341"/>
      <c r="AB362" s="341"/>
      <c r="AC362" s="341"/>
      <c r="AD362" s="341"/>
      <c r="AE362" s="341"/>
      <c r="AF362" s="341"/>
      <c r="AG362" s="341"/>
      <c r="AH362" s="341"/>
      <c r="AI362" s="341"/>
      <c r="AJ362" s="341"/>
      <c r="AK362" s="341"/>
      <c r="AL362" s="341"/>
      <c r="AM362" s="341"/>
      <c r="AN362" s="341"/>
      <c r="AO362" s="341"/>
      <c r="AP362" s="341"/>
      <c r="AQ362" s="341"/>
      <c r="AR362" s="341"/>
      <c r="AS362" s="341"/>
      <c r="AT362" s="341"/>
      <c r="AU362" s="341"/>
      <c r="AV362" s="341"/>
      <c r="AW362" s="341"/>
      <c r="AX362" s="341"/>
      <c r="AY362" s="341"/>
      <c r="AZ362" s="341"/>
      <c r="BA362" s="341"/>
      <c r="BB362" s="341"/>
      <c r="BC362" s="341"/>
      <c r="BD362" s="341"/>
      <c r="BE362" s="341"/>
      <c r="BF362" s="341"/>
      <c r="BG362" s="341"/>
      <c r="BH362" s="341"/>
      <c r="BI362" s="341"/>
      <c r="BJ362" s="341"/>
      <c r="BK362" s="341"/>
      <c r="BL362" s="341"/>
      <c r="BM362" s="341"/>
      <c r="BN362" s="341"/>
      <c r="BO362" s="341"/>
      <c r="BP362" s="341"/>
      <c r="BQ362" s="341"/>
      <c r="BR362" s="341"/>
      <c r="BS362" s="341"/>
      <c r="BT362" s="341"/>
      <c r="BU362" s="341"/>
    </row>
    <row r="363" spans="2:73" ht="13.5" customHeight="1" x14ac:dyDescent="0.2">
      <c r="B363" s="25"/>
      <c r="C363" s="14"/>
      <c r="D363" s="3"/>
      <c r="E363" s="3" t="s">
        <v>110</v>
      </c>
      <c r="F363" s="3"/>
      <c r="G363" s="3"/>
      <c r="H363" s="3"/>
      <c r="I363" s="3"/>
      <c r="J363" s="432">
        <v>0</v>
      </c>
      <c r="K363" s="433"/>
      <c r="L363" s="434"/>
      <c r="M363" s="3"/>
      <c r="N363" s="392"/>
      <c r="W363" s="341"/>
      <c r="X363" s="341"/>
      <c r="Y363" s="341"/>
      <c r="Z363" s="341"/>
      <c r="AA363" s="341"/>
      <c r="AB363" s="341"/>
      <c r="AC363" s="341"/>
      <c r="AD363" s="341"/>
      <c r="AE363" s="341"/>
      <c r="AF363" s="341"/>
      <c r="AG363" s="341"/>
      <c r="AH363" s="341"/>
      <c r="AI363" s="341"/>
      <c r="AJ363" s="341"/>
      <c r="AK363" s="341"/>
      <c r="AL363" s="341"/>
      <c r="AM363" s="341"/>
      <c r="AN363" s="341"/>
      <c r="AO363" s="341"/>
      <c r="AP363" s="341"/>
      <c r="AQ363" s="341"/>
      <c r="AR363" s="341"/>
      <c r="AS363" s="341"/>
      <c r="AT363" s="341"/>
      <c r="AU363" s="341"/>
      <c r="AV363" s="341"/>
      <c r="AW363" s="341"/>
      <c r="AX363" s="341"/>
      <c r="AY363" s="341"/>
      <c r="AZ363" s="341"/>
      <c r="BA363" s="341"/>
      <c r="BB363" s="341"/>
      <c r="BC363" s="341"/>
      <c r="BD363" s="341"/>
      <c r="BE363" s="341"/>
      <c r="BF363" s="341"/>
      <c r="BG363" s="341"/>
      <c r="BH363" s="341"/>
      <c r="BI363" s="341"/>
      <c r="BJ363" s="341"/>
      <c r="BK363" s="341"/>
      <c r="BL363" s="341"/>
      <c r="BM363" s="341"/>
      <c r="BN363" s="341"/>
      <c r="BO363" s="341"/>
      <c r="BP363" s="341"/>
      <c r="BQ363" s="341"/>
      <c r="BR363" s="341"/>
      <c r="BS363" s="341"/>
      <c r="BT363" s="341"/>
      <c r="BU363" s="341"/>
    </row>
    <row r="364" spans="2:73" ht="13.5" customHeight="1" x14ac:dyDescent="0.2">
      <c r="B364" s="25"/>
      <c r="C364" s="15" t="s">
        <v>26</v>
      </c>
      <c r="D364" s="16"/>
      <c r="E364" s="16" t="s">
        <v>308</v>
      </c>
      <c r="F364" s="16"/>
      <c r="G364" s="16"/>
      <c r="H364" s="16"/>
      <c r="I364" s="16"/>
      <c r="J364" s="168"/>
      <c r="K364" s="169"/>
      <c r="L364" s="170"/>
      <c r="M364" s="16"/>
      <c r="N364" s="396">
        <f>IF(J363&gt;0,IF(D273=1,SUM(J363*H252),SUM(J363*H253)),0)</f>
        <v>0</v>
      </c>
      <c r="W364" s="341"/>
      <c r="X364" s="341"/>
      <c r="Y364" s="341"/>
      <c r="Z364" s="341"/>
      <c r="AA364" s="341"/>
      <c r="AB364" s="341"/>
      <c r="AC364" s="341"/>
      <c r="AD364" s="341"/>
      <c r="AE364" s="341"/>
      <c r="AF364" s="341"/>
      <c r="AG364" s="341"/>
      <c r="AH364" s="341"/>
      <c r="AI364" s="341"/>
      <c r="AJ364" s="341"/>
      <c r="AK364" s="341"/>
      <c r="AL364" s="341"/>
      <c r="AM364" s="341"/>
      <c r="AN364" s="341"/>
      <c r="AO364" s="341"/>
      <c r="AP364" s="341"/>
      <c r="AQ364" s="341"/>
      <c r="AR364" s="341"/>
      <c r="AS364" s="341"/>
      <c r="AT364" s="341"/>
      <c r="AU364" s="341"/>
      <c r="AV364" s="341"/>
      <c r="AW364" s="341"/>
      <c r="AX364" s="341"/>
      <c r="AY364" s="341"/>
      <c r="AZ364" s="341"/>
      <c r="BA364" s="341"/>
      <c r="BB364" s="341"/>
      <c r="BC364" s="341"/>
      <c r="BD364" s="341"/>
      <c r="BE364" s="341"/>
      <c r="BF364" s="341"/>
      <c r="BG364" s="341"/>
      <c r="BH364" s="341"/>
      <c r="BI364" s="341"/>
      <c r="BJ364" s="341"/>
      <c r="BK364" s="341"/>
      <c r="BL364" s="341"/>
      <c r="BM364" s="341"/>
      <c r="BN364" s="341"/>
      <c r="BO364" s="341"/>
      <c r="BP364" s="341"/>
      <c r="BQ364" s="341"/>
      <c r="BR364" s="341"/>
      <c r="BS364" s="341"/>
      <c r="BT364" s="341"/>
      <c r="BU364" s="341"/>
    </row>
    <row r="365" spans="2:73" ht="15" customHeight="1" x14ac:dyDescent="0.2">
      <c r="B365" s="25"/>
      <c r="C365" s="25"/>
      <c r="D365" s="25"/>
      <c r="E365" s="25"/>
      <c r="F365" s="25"/>
      <c r="G365" s="25"/>
      <c r="H365" s="25"/>
      <c r="I365" s="25"/>
      <c r="J365" s="146"/>
      <c r="K365" s="146"/>
      <c r="L365" s="146"/>
      <c r="M365" s="108"/>
      <c r="N365" s="398"/>
      <c r="W365" s="341"/>
      <c r="X365" s="341"/>
      <c r="Y365" s="341"/>
      <c r="Z365" s="341"/>
      <c r="AA365" s="341"/>
      <c r="AB365" s="341"/>
      <c r="AC365" s="341"/>
      <c r="AD365" s="341"/>
      <c r="AE365" s="341"/>
      <c r="AF365" s="341"/>
      <c r="AG365" s="341"/>
      <c r="AH365" s="341"/>
      <c r="AI365" s="341"/>
      <c r="AJ365" s="341"/>
      <c r="AK365" s="341"/>
      <c r="AL365" s="341"/>
      <c r="AM365" s="341"/>
      <c r="AN365" s="341"/>
      <c r="AO365" s="341"/>
      <c r="AP365" s="341"/>
      <c r="AQ365" s="341"/>
      <c r="AR365" s="341"/>
      <c r="AS365" s="341"/>
      <c r="AT365" s="341"/>
      <c r="AU365" s="341"/>
      <c r="AV365" s="341"/>
      <c r="AW365" s="341"/>
      <c r="AX365" s="341"/>
      <c r="AY365" s="341"/>
      <c r="AZ365" s="341"/>
      <c r="BA365" s="341"/>
      <c r="BB365" s="341"/>
      <c r="BC365" s="341"/>
      <c r="BD365" s="341"/>
      <c r="BE365" s="341"/>
      <c r="BF365" s="341"/>
      <c r="BG365" s="341"/>
      <c r="BH365" s="341"/>
      <c r="BI365" s="341"/>
      <c r="BJ365" s="341"/>
      <c r="BK365" s="341"/>
      <c r="BL365" s="341"/>
      <c r="BM365" s="341"/>
      <c r="BN365" s="341"/>
      <c r="BO365" s="341"/>
      <c r="BP365" s="341"/>
      <c r="BQ365" s="341"/>
      <c r="BR365" s="341"/>
      <c r="BS365" s="341"/>
      <c r="BT365" s="341"/>
      <c r="BU365" s="341"/>
    </row>
    <row r="366" spans="2:73" ht="13.5" customHeight="1" x14ac:dyDescent="0.2">
      <c r="B366" s="25"/>
      <c r="C366" s="443" t="s">
        <v>27</v>
      </c>
      <c r="D366" s="444"/>
      <c r="E366" s="444"/>
      <c r="F366" s="444"/>
      <c r="G366" s="444"/>
      <c r="H366" s="444"/>
      <c r="I366" s="444"/>
      <c r="J366" s="444"/>
      <c r="K366" s="444"/>
      <c r="L366" s="445"/>
      <c r="M366" s="18"/>
      <c r="N366" s="399">
        <f>IF(L367=H315,"- - -",IF(C265&gt;2,SUM(V318+N348+N355+N364+N358+N360),"-"))</f>
        <v>1617.8</v>
      </c>
      <c r="W366" s="341"/>
      <c r="X366" s="341"/>
      <c r="Y366" s="341"/>
      <c r="Z366" s="341"/>
      <c r="AA366" s="341"/>
      <c r="AB366" s="341"/>
      <c r="AC366" s="341"/>
      <c r="AD366" s="341"/>
      <c r="AE366" s="341"/>
      <c r="AF366" s="341"/>
      <c r="AG366" s="341"/>
      <c r="AH366" s="341"/>
      <c r="AI366" s="341"/>
      <c r="AJ366" s="341"/>
      <c r="AK366" s="341"/>
      <c r="AL366" s="341"/>
      <c r="AM366" s="341"/>
      <c r="AN366" s="341"/>
      <c r="AO366" s="341"/>
      <c r="AP366" s="341"/>
      <c r="AQ366" s="341"/>
      <c r="AR366" s="341"/>
      <c r="AS366" s="341"/>
      <c r="AT366" s="341"/>
      <c r="AU366" s="341"/>
      <c r="AV366" s="341"/>
      <c r="AW366" s="341"/>
      <c r="AX366" s="341"/>
      <c r="AY366" s="341"/>
      <c r="AZ366" s="341"/>
      <c r="BA366" s="341"/>
      <c r="BB366" s="341"/>
      <c r="BC366" s="341"/>
      <c r="BD366" s="341"/>
      <c r="BE366" s="341"/>
      <c r="BF366" s="341"/>
      <c r="BG366" s="341"/>
      <c r="BH366" s="341"/>
      <c r="BI366" s="341"/>
      <c r="BJ366" s="341"/>
      <c r="BK366" s="341"/>
      <c r="BL366" s="341"/>
      <c r="BM366" s="341"/>
      <c r="BN366" s="341"/>
      <c r="BO366" s="341"/>
      <c r="BP366" s="341"/>
      <c r="BQ366" s="341"/>
      <c r="BR366" s="341"/>
      <c r="BS366" s="341"/>
      <c r="BT366" s="341"/>
      <c r="BU366" s="341"/>
    </row>
    <row r="367" spans="2:73" ht="12.75" customHeight="1" x14ac:dyDescent="0.2">
      <c r="B367" s="179"/>
      <c r="C367" s="179"/>
      <c r="D367" s="179"/>
      <c r="E367" s="179"/>
      <c r="F367" s="179"/>
      <c r="G367" s="179"/>
      <c r="H367" s="176"/>
      <c r="I367" s="176"/>
      <c r="J367" s="176"/>
      <c r="K367" s="177"/>
      <c r="L367" s="425" t="str">
        <f>IF(D307&gt;0,IF(C267=1,H315,""),"")</f>
        <v/>
      </c>
      <c r="M367" s="425"/>
      <c r="N367" s="425"/>
      <c r="O367" s="341"/>
      <c r="W367" s="341"/>
      <c r="X367" s="341"/>
      <c r="Y367" s="341"/>
      <c r="Z367" s="341"/>
      <c r="AA367" s="341"/>
      <c r="AB367" s="341"/>
      <c r="AC367" s="341"/>
      <c r="AD367" s="341"/>
      <c r="AE367" s="341"/>
      <c r="AF367" s="341"/>
      <c r="AG367" s="341"/>
      <c r="AH367" s="341"/>
      <c r="AI367" s="341"/>
      <c r="AJ367" s="341"/>
      <c r="AK367" s="341"/>
      <c r="AL367" s="341"/>
      <c r="AM367" s="341"/>
      <c r="AN367" s="341"/>
      <c r="AO367" s="341"/>
      <c r="AP367" s="341"/>
      <c r="AQ367" s="341"/>
      <c r="AR367" s="341"/>
      <c r="AS367" s="341"/>
      <c r="AT367" s="341"/>
      <c r="AU367" s="341"/>
      <c r="AV367" s="341"/>
      <c r="AW367" s="341"/>
      <c r="AX367" s="341"/>
      <c r="AY367" s="341"/>
      <c r="AZ367" s="341"/>
      <c r="BA367" s="341"/>
      <c r="BB367" s="341"/>
      <c r="BC367" s="341"/>
      <c r="BD367" s="341"/>
      <c r="BE367" s="341"/>
      <c r="BF367" s="341"/>
      <c r="BG367" s="341"/>
      <c r="BH367" s="341"/>
      <c r="BI367" s="341"/>
      <c r="BJ367" s="341"/>
      <c r="BK367" s="341"/>
      <c r="BL367" s="341"/>
      <c r="BM367" s="341"/>
      <c r="BN367" s="341"/>
      <c r="BO367" s="341"/>
      <c r="BP367" s="341"/>
      <c r="BQ367" s="341"/>
      <c r="BR367" s="341"/>
      <c r="BS367" s="341"/>
      <c r="BT367" s="341"/>
      <c r="BU367" s="341"/>
    </row>
    <row r="368" spans="2:73" ht="12.75" customHeight="1" x14ac:dyDescent="0.2">
      <c r="B368" s="179"/>
      <c r="C368" s="179"/>
      <c r="D368" s="179"/>
      <c r="E368" s="179"/>
      <c r="F368" s="179"/>
      <c r="G368" s="179"/>
      <c r="H368" s="176"/>
      <c r="I368" s="176"/>
      <c r="J368" s="176"/>
      <c r="K368" s="177"/>
      <c r="L368" s="425"/>
      <c r="M368" s="425"/>
      <c r="N368" s="425"/>
      <c r="O368" s="341"/>
      <c r="W368" s="341"/>
      <c r="X368" s="341"/>
      <c r="Y368" s="341"/>
      <c r="Z368" s="341"/>
      <c r="AA368" s="341"/>
      <c r="AB368" s="341"/>
      <c r="AC368" s="341"/>
      <c r="AD368" s="341"/>
      <c r="AE368" s="341"/>
      <c r="AF368" s="341"/>
      <c r="AG368" s="341"/>
      <c r="AH368" s="341"/>
      <c r="AI368" s="341"/>
      <c r="AJ368" s="341"/>
      <c r="AK368" s="341"/>
      <c r="AL368" s="341"/>
      <c r="AM368" s="341"/>
      <c r="AN368" s="341"/>
      <c r="AO368" s="341"/>
      <c r="AP368" s="341"/>
      <c r="AQ368" s="341"/>
      <c r="AR368" s="341"/>
      <c r="AS368" s="341"/>
      <c r="AT368" s="341"/>
      <c r="AU368" s="341"/>
      <c r="AV368" s="341"/>
      <c r="AW368" s="341"/>
      <c r="AX368" s="341"/>
      <c r="AY368" s="341"/>
      <c r="AZ368" s="341"/>
      <c r="BA368" s="341"/>
      <c r="BB368" s="341"/>
      <c r="BC368" s="341"/>
      <c r="BD368" s="341"/>
      <c r="BE368" s="341"/>
      <c r="BF368" s="341"/>
      <c r="BG368" s="341"/>
      <c r="BH368" s="341"/>
      <c r="BI368" s="341"/>
      <c r="BJ368" s="341"/>
      <c r="BK368" s="341"/>
      <c r="BL368" s="341"/>
      <c r="BM368" s="341"/>
      <c r="BN368" s="341"/>
      <c r="BO368" s="341"/>
      <c r="BP368" s="341"/>
      <c r="BQ368" s="341"/>
      <c r="BR368" s="341"/>
      <c r="BS368" s="341"/>
      <c r="BT368" s="341"/>
      <c r="BU368" s="341"/>
    </row>
    <row r="369" spans="2:73" ht="12.75" customHeight="1" x14ac:dyDescent="0.2">
      <c r="B369" s="179"/>
      <c r="C369" s="179"/>
      <c r="D369" s="179"/>
      <c r="E369" s="179"/>
      <c r="F369" s="179"/>
      <c r="G369" s="179"/>
      <c r="H369" s="176"/>
      <c r="I369" s="176"/>
      <c r="J369" s="176"/>
      <c r="K369" s="177"/>
      <c r="L369" s="425"/>
      <c r="M369" s="425"/>
      <c r="N369" s="425"/>
      <c r="O369" s="341"/>
      <c r="W369" s="341"/>
      <c r="X369" s="341"/>
      <c r="Y369" s="341"/>
      <c r="Z369" s="341"/>
      <c r="AA369" s="341"/>
      <c r="AB369" s="341"/>
      <c r="AC369" s="341"/>
      <c r="AD369" s="341"/>
      <c r="AE369" s="341"/>
      <c r="AF369" s="341"/>
      <c r="AG369" s="341"/>
      <c r="AH369" s="341"/>
      <c r="AI369" s="341"/>
      <c r="AJ369" s="341"/>
      <c r="AK369" s="341"/>
      <c r="AL369" s="341"/>
      <c r="AM369" s="341"/>
      <c r="AN369" s="341"/>
      <c r="AO369" s="341"/>
      <c r="AP369" s="341"/>
      <c r="AQ369" s="341"/>
      <c r="AR369" s="341"/>
      <c r="AS369" s="341"/>
      <c r="AT369" s="341"/>
      <c r="AU369" s="341"/>
      <c r="AV369" s="341"/>
      <c r="AW369" s="341"/>
      <c r="AX369" s="341"/>
      <c r="AY369" s="341"/>
      <c r="AZ369" s="341"/>
      <c r="BA369" s="341"/>
      <c r="BB369" s="341"/>
      <c r="BC369" s="341"/>
      <c r="BD369" s="341"/>
      <c r="BE369" s="341"/>
      <c r="BF369" s="341"/>
      <c r="BG369" s="341"/>
      <c r="BH369" s="341"/>
      <c r="BI369" s="341"/>
      <c r="BJ369" s="341"/>
      <c r="BK369" s="341"/>
      <c r="BL369" s="341"/>
      <c r="BM369" s="341"/>
      <c r="BN369" s="341"/>
      <c r="BO369" s="341"/>
      <c r="BP369" s="341"/>
      <c r="BQ369" s="341"/>
      <c r="BR369" s="341"/>
      <c r="BS369" s="341"/>
      <c r="BT369" s="341"/>
      <c r="BU369" s="341"/>
    </row>
    <row r="370" spans="2:73" x14ac:dyDescent="0.2">
      <c r="B370" s="179"/>
      <c r="C370" s="179"/>
      <c r="D370" s="179"/>
      <c r="E370" s="179"/>
      <c r="F370" s="179"/>
      <c r="G370" s="179"/>
      <c r="H370" s="176"/>
      <c r="I370" s="176"/>
      <c r="J370" s="176"/>
      <c r="K370" s="27"/>
      <c r="L370" s="27"/>
      <c r="N370" s="384"/>
      <c r="W370" s="341"/>
      <c r="X370" s="341"/>
      <c r="Y370" s="341"/>
      <c r="Z370" s="341"/>
      <c r="AA370" s="341"/>
      <c r="AB370" s="341"/>
      <c r="AC370" s="341"/>
      <c r="AD370" s="341"/>
      <c r="AE370" s="341"/>
      <c r="AF370" s="341"/>
      <c r="AG370" s="341"/>
      <c r="AH370" s="341"/>
      <c r="AI370" s="341"/>
      <c r="AJ370" s="341"/>
      <c r="AK370" s="341"/>
      <c r="AL370" s="341"/>
      <c r="AM370" s="341"/>
      <c r="AN370" s="341"/>
      <c r="AO370" s="341"/>
      <c r="AP370" s="341"/>
      <c r="AQ370" s="341"/>
      <c r="AR370" s="341"/>
      <c r="AS370" s="341"/>
      <c r="AT370" s="341"/>
      <c r="AU370" s="341"/>
      <c r="AV370" s="341"/>
      <c r="AW370" s="341"/>
      <c r="AX370" s="341"/>
      <c r="AY370" s="341"/>
      <c r="AZ370" s="341"/>
      <c r="BA370" s="341"/>
      <c r="BB370" s="341"/>
      <c r="BC370" s="341"/>
      <c r="BD370" s="341"/>
      <c r="BE370" s="341"/>
      <c r="BF370" s="341"/>
      <c r="BG370" s="341"/>
      <c r="BH370" s="341"/>
      <c r="BI370" s="341"/>
      <c r="BJ370" s="341"/>
      <c r="BK370" s="341"/>
      <c r="BL370" s="341"/>
      <c r="BM370" s="341"/>
      <c r="BN370" s="341"/>
      <c r="BO370" s="341"/>
      <c r="BP370" s="341"/>
      <c r="BQ370" s="341"/>
      <c r="BR370" s="341"/>
      <c r="BS370" s="341"/>
      <c r="BT370" s="341"/>
      <c r="BU370" s="341"/>
    </row>
    <row r="371" spans="2:73" x14ac:dyDescent="0.2">
      <c r="B371" s="179"/>
      <c r="C371" s="179"/>
      <c r="D371" s="179"/>
      <c r="E371" s="179"/>
      <c r="F371" s="179"/>
      <c r="G371" s="179"/>
      <c r="H371" s="176"/>
      <c r="I371" s="176"/>
      <c r="J371" s="176"/>
      <c r="K371" s="27"/>
      <c r="L371" s="27"/>
      <c r="N371" s="384"/>
      <c r="W371" s="341"/>
      <c r="X371" s="341"/>
      <c r="Y371" s="341"/>
      <c r="Z371" s="341"/>
      <c r="AA371" s="341"/>
      <c r="AB371" s="341"/>
      <c r="AC371" s="341"/>
      <c r="AD371" s="341"/>
      <c r="AE371" s="341"/>
      <c r="AF371" s="341"/>
      <c r="AG371" s="341"/>
      <c r="AH371" s="341"/>
      <c r="AI371" s="341"/>
      <c r="AJ371" s="341"/>
      <c r="AK371" s="341"/>
      <c r="AL371" s="341"/>
      <c r="AM371" s="341"/>
      <c r="AN371" s="341"/>
      <c r="AO371" s="341"/>
      <c r="AP371" s="341"/>
      <c r="AQ371" s="341"/>
      <c r="AR371" s="341"/>
      <c r="AS371" s="341"/>
      <c r="AT371" s="341"/>
      <c r="AU371" s="341"/>
      <c r="AV371" s="341"/>
      <c r="AW371" s="341"/>
      <c r="AX371" s="341"/>
      <c r="AY371" s="341"/>
      <c r="AZ371" s="341"/>
      <c r="BA371" s="341"/>
      <c r="BB371" s="341"/>
      <c r="BC371" s="341"/>
      <c r="BD371" s="341"/>
      <c r="BE371" s="341"/>
      <c r="BF371" s="341"/>
      <c r="BG371" s="341"/>
      <c r="BH371" s="341"/>
      <c r="BI371" s="341"/>
      <c r="BJ371" s="341"/>
      <c r="BK371" s="341"/>
      <c r="BL371" s="341"/>
      <c r="BM371" s="341"/>
      <c r="BN371" s="341"/>
      <c r="BO371" s="341"/>
      <c r="BP371" s="341"/>
      <c r="BQ371" s="341"/>
      <c r="BR371" s="341"/>
      <c r="BS371" s="341"/>
      <c r="BT371" s="341"/>
      <c r="BU371" s="341"/>
    </row>
    <row r="372" spans="2:73" x14ac:dyDescent="0.2">
      <c r="B372" s="179"/>
      <c r="C372" s="179"/>
      <c r="D372" s="179"/>
      <c r="E372" s="179"/>
      <c r="F372" s="179"/>
      <c r="G372" s="179"/>
      <c r="H372" s="176"/>
      <c r="I372" s="176"/>
      <c r="J372" s="176"/>
      <c r="K372" s="27"/>
      <c r="L372" s="27"/>
      <c r="N372" s="384"/>
      <c r="W372" s="341"/>
      <c r="X372" s="341"/>
      <c r="Y372" s="341"/>
      <c r="Z372" s="341"/>
      <c r="AA372" s="341"/>
      <c r="AB372" s="341"/>
      <c r="AC372" s="341"/>
      <c r="AD372" s="341"/>
      <c r="AE372" s="341"/>
      <c r="AF372" s="341"/>
      <c r="AG372" s="341"/>
      <c r="AH372" s="341"/>
      <c r="AI372" s="341"/>
      <c r="AJ372" s="341"/>
      <c r="AK372" s="341"/>
      <c r="AL372" s="341"/>
      <c r="AM372" s="341"/>
      <c r="AN372" s="341"/>
      <c r="AO372" s="341"/>
      <c r="AP372" s="341"/>
      <c r="AQ372" s="341"/>
      <c r="AR372" s="341"/>
      <c r="AS372" s="341"/>
      <c r="AT372" s="341"/>
      <c r="AU372" s="341"/>
      <c r="AV372" s="341"/>
      <c r="AW372" s="341"/>
      <c r="AX372" s="341"/>
      <c r="AY372" s="341"/>
      <c r="AZ372" s="341"/>
      <c r="BA372" s="341"/>
      <c r="BB372" s="341"/>
      <c r="BC372" s="341"/>
      <c r="BD372" s="341"/>
      <c r="BE372" s="341"/>
      <c r="BF372" s="341"/>
      <c r="BG372" s="341"/>
      <c r="BH372" s="341"/>
      <c r="BI372" s="341"/>
      <c r="BJ372" s="341"/>
      <c r="BK372" s="341"/>
      <c r="BL372" s="341"/>
      <c r="BM372" s="341"/>
      <c r="BN372" s="341"/>
      <c r="BO372" s="341"/>
      <c r="BP372" s="341"/>
      <c r="BQ372" s="341"/>
      <c r="BR372" s="341"/>
      <c r="BS372" s="341"/>
      <c r="BT372" s="341"/>
      <c r="BU372" s="341"/>
    </row>
    <row r="373" spans="2:73" x14ac:dyDescent="0.2">
      <c r="B373" s="179"/>
      <c r="C373" s="179"/>
      <c r="D373" s="179"/>
      <c r="E373" s="179"/>
      <c r="F373" s="179"/>
      <c r="G373" s="179"/>
      <c r="H373" s="176"/>
      <c r="I373" s="176"/>
      <c r="J373" s="176"/>
      <c r="K373" s="177"/>
      <c r="L373" s="178"/>
      <c r="M373" s="384"/>
      <c r="N373" s="384"/>
      <c r="W373" s="341"/>
      <c r="X373" s="341"/>
      <c r="Y373" s="341"/>
      <c r="Z373" s="341"/>
      <c r="AA373" s="341"/>
      <c r="AB373" s="341"/>
      <c r="AC373" s="341"/>
      <c r="AD373" s="341"/>
      <c r="AE373" s="341"/>
      <c r="AF373" s="341"/>
      <c r="AG373" s="341"/>
      <c r="AH373" s="341"/>
      <c r="AI373" s="341"/>
      <c r="AJ373" s="341"/>
      <c r="AK373" s="341"/>
      <c r="AL373" s="341"/>
      <c r="AM373" s="341"/>
      <c r="AN373" s="341"/>
      <c r="AO373" s="341"/>
      <c r="AP373" s="341"/>
      <c r="AQ373" s="341"/>
      <c r="AR373" s="341"/>
      <c r="AS373" s="341"/>
      <c r="AT373" s="341"/>
      <c r="AU373" s="341"/>
      <c r="AV373" s="341"/>
      <c r="AW373" s="341"/>
      <c r="AX373" s="341"/>
      <c r="AY373" s="341"/>
      <c r="AZ373" s="341"/>
      <c r="BA373" s="341"/>
      <c r="BB373" s="341"/>
      <c r="BC373" s="341"/>
      <c r="BD373" s="341"/>
      <c r="BE373" s="341"/>
      <c r="BF373" s="341"/>
      <c r="BG373" s="341"/>
      <c r="BH373" s="341"/>
      <c r="BI373" s="341"/>
      <c r="BJ373" s="341"/>
      <c r="BK373" s="341"/>
      <c r="BL373" s="341"/>
      <c r="BM373" s="341"/>
      <c r="BN373" s="341"/>
      <c r="BO373" s="341"/>
      <c r="BP373" s="341"/>
      <c r="BQ373" s="341"/>
      <c r="BR373" s="341"/>
      <c r="BS373" s="341"/>
      <c r="BT373" s="341"/>
      <c r="BU373" s="341"/>
    </row>
    <row r="374" spans="2:73" x14ac:dyDescent="0.2">
      <c r="B374" s="25"/>
      <c r="H374" s="64"/>
      <c r="I374" s="64"/>
      <c r="J374" s="171"/>
      <c r="K374" s="172"/>
      <c r="L374" s="173"/>
      <c r="M374" s="384"/>
      <c r="N374" s="384"/>
      <c r="W374" s="341"/>
      <c r="X374" s="341"/>
      <c r="Y374" s="341"/>
      <c r="Z374" s="341"/>
      <c r="AA374" s="341"/>
      <c r="AB374" s="341"/>
      <c r="AC374" s="341"/>
      <c r="AD374" s="341"/>
      <c r="AE374" s="341"/>
      <c r="AF374" s="341"/>
      <c r="AG374" s="341"/>
      <c r="AH374" s="341"/>
      <c r="AI374" s="341"/>
      <c r="AJ374" s="341"/>
      <c r="AK374" s="341"/>
      <c r="AL374" s="341"/>
      <c r="AM374" s="341"/>
      <c r="AN374" s="341"/>
      <c r="AO374" s="341"/>
      <c r="AP374" s="341"/>
      <c r="AQ374" s="341"/>
      <c r="AR374" s="341"/>
      <c r="AS374" s="341"/>
      <c r="AT374" s="341"/>
      <c r="AU374" s="341"/>
      <c r="AV374" s="341"/>
      <c r="AW374" s="341"/>
      <c r="AX374" s="341"/>
      <c r="AY374" s="341"/>
      <c r="AZ374" s="341"/>
      <c r="BA374" s="341"/>
      <c r="BB374" s="341"/>
      <c r="BC374" s="341"/>
      <c r="BD374" s="341"/>
      <c r="BE374" s="341"/>
      <c r="BF374" s="341"/>
      <c r="BG374" s="341"/>
      <c r="BH374" s="341"/>
      <c r="BI374" s="341"/>
      <c r="BJ374" s="341"/>
      <c r="BK374" s="341"/>
      <c r="BL374" s="341"/>
      <c r="BM374" s="341"/>
      <c r="BN374" s="341"/>
      <c r="BO374" s="341"/>
      <c r="BP374" s="341"/>
      <c r="BQ374" s="341"/>
      <c r="BR374" s="341"/>
      <c r="BS374" s="341"/>
      <c r="BT374" s="341"/>
      <c r="BU374" s="341"/>
    </row>
    <row r="375" spans="2:73" x14ac:dyDescent="0.2">
      <c r="H375" s="64"/>
      <c r="I375" s="64"/>
      <c r="J375" s="171"/>
      <c r="K375" s="172"/>
      <c r="L375" s="173"/>
      <c r="M375" s="384"/>
      <c r="N375" s="384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</row>
    <row r="376" spans="2:73" x14ac:dyDescent="0.2">
      <c r="H376" s="64"/>
      <c r="I376" s="64"/>
      <c r="J376" s="171"/>
      <c r="K376" s="172"/>
      <c r="L376" s="173"/>
      <c r="M376" s="384"/>
      <c r="N376" s="384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</row>
    <row r="377" spans="2:73" x14ac:dyDescent="0.2">
      <c r="H377" s="64"/>
      <c r="I377" s="64"/>
      <c r="J377" s="171"/>
      <c r="K377" s="172"/>
      <c r="L377" s="173"/>
      <c r="M377" s="384"/>
      <c r="N377" s="384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</row>
    <row r="378" spans="2:73" x14ac:dyDescent="0.2">
      <c r="H378" s="64"/>
      <c r="I378" s="64"/>
      <c r="J378" s="171"/>
      <c r="K378" s="172"/>
      <c r="L378" s="173"/>
      <c r="M378" s="384"/>
      <c r="N378" s="384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</row>
    <row r="379" spans="2:73" x14ac:dyDescent="0.2">
      <c r="H379" s="64"/>
      <c r="I379" s="64"/>
      <c r="J379" s="171"/>
      <c r="K379" s="172"/>
      <c r="L379" s="173"/>
      <c r="M379" s="384"/>
      <c r="N379" s="384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</row>
    <row r="380" spans="2:73" x14ac:dyDescent="0.2">
      <c r="H380" s="64"/>
      <c r="I380" s="64"/>
      <c r="J380" s="171"/>
      <c r="K380" s="172"/>
      <c r="L380" s="173"/>
      <c r="M380" s="384"/>
      <c r="N380" s="384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</row>
    <row r="381" spans="2:73" x14ac:dyDescent="0.2">
      <c r="H381" s="64"/>
      <c r="I381" s="64"/>
      <c r="J381" s="171"/>
      <c r="K381" s="172"/>
      <c r="L381" s="173"/>
      <c r="M381" s="384"/>
      <c r="N381" s="384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</row>
    <row r="382" spans="2:73" x14ac:dyDescent="0.2">
      <c r="H382" s="64"/>
      <c r="I382" s="64"/>
      <c r="J382" s="171"/>
      <c r="K382" s="172"/>
      <c r="L382" s="173"/>
      <c r="M382" s="384"/>
      <c r="N382" s="384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</row>
    <row r="383" spans="2:73" x14ac:dyDescent="0.2">
      <c r="H383" s="64"/>
      <c r="I383" s="64"/>
      <c r="J383" s="171"/>
      <c r="K383" s="172"/>
      <c r="L383" s="173"/>
      <c r="M383" s="384"/>
      <c r="N383" s="384"/>
      <c r="W383" s="179"/>
      <c r="X383" s="179"/>
      <c r="Y383" s="179"/>
      <c r="Z383" s="179"/>
      <c r="AA383" s="179"/>
      <c r="AB383" s="179"/>
      <c r="AC383" s="179"/>
      <c r="AD383" s="179"/>
      <c r="AE383" s="179"/>
      <c r="AF383" s="179"/>
      <c r="AG383" s="179"/>
    </row>
    <row r="384" spans="2:73" x14ac:dyDescent="0.2">
      <c r="H384" s="64"/>
      <c r="I384" s="64"/>
      <c r="J384" s="171"/>
      <c r="K384" s="172"/>
      <c r="L384" s="173"/>
      <c r="M384" s="384"/>
      <c r="N384" s="384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</row>
    <row r="385" spans="8:33" x14ac:dyDescent="0.2">
      <c r="H385" s="64"/>
      <c r="I385" s="64"/>
      <c r="J385" s="171"/>
      <c r="K385" s="172"/>
      <c r="L385" s="173"/>
      <c r="M385" s="384"/>
      <c r="N385" s="384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</row>
    <row r="386" spans="8:33" x14ac:dyDescent="0.2">
      <c r="H386" s="64"/>
      <c r="I386" s="64"/>
      <c r="J386" s="171"/>
      <c r="K386" s="172"/>
      <c r="L386" s="173"/>
      <c r="M386" s="384"/>
      <c r="N386" s="384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</row>
    <row r="387" spans="8:33" x14ac:dyDescent="0.2">
      <c r="H387" s="64"/>
      <c r="I387" s="64"/>
      <c r="J387" s="171"/>
      <c r="K387" s="172"/>
      <c r="L387" s="173"/>
      <c r="M387" s="384"/>
      <c r="N387" s="384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</row>
    <row r="388" spans="8:33" x14ac:dyDescent="0.2">
      <c r="H388" s="64"/>
      <c r="I388" s="64"/>
      <c r="J388" s="171"/>
      <c r="K388" s="172"/>
      <c r="L388" s="173"/>
      <c r="M388" s="384"/>
      <c r="N388" s="384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</row>
    <row r="389" spans="8:33" x14ac:dyDescent="0.2">
      <c r="H389" s="64"/>
      <c r="I389" s="64"/>
      <c r="J389" s="171"/>
      <c r="K389" s="172"/>
      <c r="L389" s="173"/>
      <c r="M389" s="384"/>
      <c r="N389" s="384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</row>
    <row r="390" spans="8:33" x14ac:dyDescent="0.2">
      <c r="H390" s="64"/>
      <c r="I390" s="64"/>
      <c r="J390" s="171"/>
      <c r="K390" s="172"/>
      <c r="L390" s="173"/>
      <c r="M390" s="384"/>
      <c r="N390" s="384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</row>
    <row r="391" spans="8:33" x14ac:dyDescent="0.2">
      <c r="H391" s="64"/>
      <c r="I391" s="64"/>
      <c r="J391" s="171"/>
      <c r="K391" s="172"/>
      <c r="L391" s="173"/>
      <c r="M391" s="384"/>
      <c r="N391" s="384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</row>
    <row r="392" spans="8:33" x14ac:dyDescent="0.2">
      <c r="H392" s="64"/>
      <c r="I392" s="64"/>
      <c r="J392" s="171"/>
      <c r="K392" s="172"/>
      <c r="L392" s="173"/>
      <c r="M392" s="384"/>
      <c r="N392" s="384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</row>
    <row r="393" spans="8:33" x14ac:dyDescent="0.2">
      <c r="H393" s="64"/>
      <c r="I393" s="64"/>
      <c r="J393" s="171"/>
      <c r="K393" s="172"/>
      <c r="L393" s="173"/>
      <c r="M393" s="384"/>
      <c r="N393" s="384"/>
      <c r="W393" s="179"/>
      <c r="X393" s="179"/>
      <c r="Y393" s="179"/>
      <c r="Z393" s="179"/>
      <c r="AA393" s="179"/>
      <c r="AB393" s="179"/>
      <c r="AC393" s="179"/>
      <c r="AD393" s="179"/>
      <c r="AE393" s="179"/>
      <c r="AF393" s="179"/>
      <c r="AG393" s="179"/>
    </row>
    <row r="394" spans="8:33" x14ac:dyDescent="0.2">
      <c r="H394" s="64"/>
      <c r="I394" s="64"/>
      <c r="J394" s="171"/>
      <c r="K394" s="172"/>
      <c r="L394" s="173"/>
      <c r="M394" s="384"/>
      <c r="N394" s="384"/>
      <c r="W394" s="179"/>
      <c r="X394" s="179"/>
      <c r="Y394" s="179"/>
      <c r="Z394" s="179"/>
      <c r="AA394" s="179"/>
      <c r="AB394" s="179"/>
      <c r="AC394" s="179"/>
      <c r="AD394" s="179"/>
      <c r="AE394" s="179"/>
      <c r="AF394" s="179"/>
      <c r="AG394" s="179"/>
    </row>
    <row r="395" spans="8:33" x14ac:dyDescent="0.2">
      <c r="H395" s="64"/>
      <c r="I395" s="64"/>
      <c r="J395" s="171"/>
      <c r="K395" s="172"/>
      <c r="L395" s="173"/>
      <c r="M395" s="384"/>
      <c r="N395" s="384"/>
      <c r="W395" s="179"/>
      <c r="X395" s="179"/>
      <c r="Y395" s="179"/>
      <c r="Z395" s="179"/>
      <c r="AA395" s="179"/>
      <c r="AB395" s="179"/>
      <c r="AC395" s="179"/>
      <c r="AD395" s="179"/>
      <c r="AE395" s="179"/>
      <c r="AF395" s="179"/>
      <c r="AG395" s="179"/>
    </row>
    <row r="396" spans="8:33" x14ac:dyDescent="0.2">
      <c r="H396" s="64"/>
      <c r="I396" s="64"/>
      <c r="J396" s="171"/>
      <c r="K396" s="172"/>
      <c r="L396" s="173"/>
      <c r="M396" s="384"/>
      <c r="N396" s="384"/>
      <c r="W396" s="179"/>
      <c r="X396" s="179"/>
      <c r="Y396" s="179"/>
      <c r="Z396" s="179"/>
      <c r="AA396" s="179"/>
      <c r="AB396" s="179"/>
      <c r="AC396" s="179"/>
      <c r="AD396" s="179"/>
      <c r="AE396" s="179"/>
      <c r="AF396" s="179"/>
      <c r="AG396" s="179"/>
    </row>
    <row r="397" spans="8:33" x14ac:dyDescent="0.2">
      <c r="H397" s="64"/>
      <c r="I397" s="64"/>
      <c r="J397" s="171"/>
      <c r="K397" s="172"/>
      <c r="L397" s="173"/>
      <c r="M397" s="384"/>
      <c r="N397" s="384"/>
      <c r="W397" s="179"/>
      <c r="X397" s="179"/>
      <c r="Y397" s="179"/>
      <c r="Z397" s="179"/>
      <c r="AA397" s="179"/>
      <c r="AB397" s="179"/>
      <c r="AC397" s="179"/>
      <c r="AD397" s="179"/>
      <c r="AE397" s="179"/>
      <c r="AF397" s="179"/>
      <c r="AG397" s="179"/>
    </row>
    <row r="398" spans="8:33" x14ac:dyDescent="0.2">
      <c r="H398" s="64"/>
      <c r="I398" s="64"/>
      <c r="J398" s="171"/>
      <c r="K398" s="172"/>
      <c r="L398" s="173"/>
      <c r="M398" s="384"/>
      <c r="N398" s="384"/>
      <c r="W398" s="179"/>
      <c r="X398" s="179"/>
      <c r="Y398" s="179"/>
      <c r="Z398" s="179"/>
      <c r="AA398" s="179"/>
      <c r="AB398" s="179"/>
      <c r="AC398" s="179"/>
      <c r="AD398" s="179"/>
      <c r="AE398" s="179"/>
      <c r="AF398" s="179"/>
      <c r="AG398" s="179"/>
    </row>
    <row r="399" spans="8:33" x14ac:dyDescent="0.2">
      <c r="H399" s="64"/>
      <c r="I399" s="64"/>
      <c r="J399" s="171"/>
      <c r="K399" s="172"/>
      <c r="L399" s="173"/>
      <c r="M399" s="384"/>
      <c r="N399" s="384"/>
      <c r="W399" s="179"/>
      <c r="X399" s="179"/>
      <c r="Y399" s="179"/>
      <c r="Z399" s="179"/>
      <c r="AA399" s="179"/>
      <c r="AB399" s="179"/>
      <c r="AC399" s="179"/>
      <c r="AD399" s="179"/>
      <c r="AE399" s="179"/>
      <c r="AF399" s="179"/>
      <c r="AG399" s="179"/>
    </row>
    <row r="400" spans="8:33" x14ac:dyDescent="0.2">
      <c r="H400" s="64"/>
      <c r="I400" s="64"/>
      <c r="J400" s="171"/>
      <c r="K400" s="172"/>
      <c r="L400" s="173"/>
      <c r="M400" s="384"/>
      <c r="N400" s="384"/>
      <c r="W400" s="179"/>
      <c r="X400" s="179"/>
      <c r="Y400" s="179"/>
      <c r="Z400" s="179"/>
      <c r="AA400" s="179"/>
      <c r="AB400" s="179"/>
      <c r="AC400" s="179"/>
      <c r="AD400" s="179"/>
      <c r="AE400" s="179"/>
      <c r="AF400" s="179"/>
      <c r="AG400" s="179"/>
    </row>
    <row r="401" spans="8:33" x14ac:dyDescent="0.2">
      <c r="H401" s="64"/>
      <c r="I401" s="64"/>
      <c r="J401" s="171"/>
      <c r="K401" s="172"/>
      <c r="L401" s="173"/>
      <c r="M401" s="384"/>
      <c r="N401" s="384"/>
      <c r="W401" s="179"/>
      <c r="X401" s="179"/>
      <c r="Y401" s="179"/>
      <c r="Z401" s="179"/>
      <c r="AA401" s="179"/>
      <c r="AB401" s="179"/>
      <c r="AC401" s="179"/>
      <c r="AD401" s="179"/>
      <c r="AE401" s="179"/>
      <c r="AF401" s="179"/>
      <c r="AG401" s="179"/>
    </row>
    <row r="402" spans="8:33" ht="13.5" customHeight="1" x14ac:dyDescent="0.2">
      <c r="H402" s="64"/>
      <c r="I402" s="64"/>
      <c r="J402" s="171"/>
      <c r="K402" s="172"/>
      <c r="L402" s="173"/>
      <c r="M402" s="384"/>
      <c r="N402" s="384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</row>
    <row r="403" spans="8:33" ht="13.5" customHeight="1" x14ac:dyDescent="0.2">
      <c r="H403" s="64"/>
      <c r="I403" s="64"/>
      <c r="J403" s="171"/>
      <c r="K403" s="172"/>
      <c r="L403" s="173"/>
      <c r="M403" s="384"/>
      <c r="N403" s="384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</row>
    <row r="404" spans="8:33" ht="13.5" customHeight="1" x14ac:dyDescent="0.2">
      <c r="H404" s="64"/>
      <c r="I404" s="64"/>
      <c r="J404" s="171"/>
      <c r="K404" s="172"/>
      <c r="L404" s="173"/>
      <c r="M404" s="384"/>
      <c r="N404" s="384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</row>
    <row r="405" spans="8:33" x14ac:dyDescent="0.2">
      <c r="H405" s="64"/>
      <c r="I405" s="64"/>
      <c r="J405" s="171"/>
      <c r="K405" s="172"/>
      <c r="L405" s="173"/>
      <c r="M405" s="384"/>
      <c r="N405" s="384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</row>
    <row r="406" spans="8:33" x14ac:dyDescent="0.2">
      <c r="H406" s="64"/>
      <c r="I406" s="64"/>
      <c r="J406" s="171"/>
      <c r="K406" s="172"/>
      <c r="L406" s="173"/>
      <c r="M406" s="384"/>
      <c r="N406" s="384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9"/>
      <c r="AG406" s="179"/>
    </row>
    <row r="407" spans="8:33" x14ac:dyDescent="0.2">
      <c r="H407" s="64"/>
      <c r="I407" s="64"/>
      <c r="J407" s="171"/>
      <c r="K407" s="172"/>
      <c r="L407" s="173"/>
      <c r="M407" s="384"/>
      <c r="N407" s="384"/>
      <c r="W407" s="179"/>
      <c r="X407" s="179"/>
      <c r="Y407" s="179"/>
      <c r="Z407" s="179"/>
      <c r="AA407" s="179"/>
      <c r="AB407" s="179"/>
      <c r="AC407" s="179"/>
      <c r="AD407" s="179"/>
      <c r="AE407" s="179"/>
      <c r="AF407" s="179"/>
      <c r="AG407" s="179"/>
    </row>
    <row r="408" spans="8:33" x14ac:dyDescent="0.2">
      <c r="H408" s="64"/>
      <c r="I408" s="64"/>
      <c r="J408" s="171"/>
      <c r="K408" s="172"/>
      <c r="L408" s="173"/>
      <c r="M408" s="384"/>
      <c r="N408" s="384"/>
      <c r="W408" s="179"/>
      <c r="X408" s="179"/>
      <c r="Y408" s="179"/>
      <c r="Z408" s="179"/>
      <c r="AA408" s="179"/>
      <c r="AB408" s="179"/>
      <c r="AC408" s="179"/>
      <c r="AD408" s="179"/>
      <c r="AE408" s="179"/>
      <c r="AF408" s="179"/>
      <c r="AG408" s="179"/>
    </row>
    <row r="409" spans="8:33" x14ac:dyDescent="0.2">
      <c r="H409" s="64"/>
      <c r="I409" s="64"/>
      <c r="J409" s="171"/>
      <c r="K409" s="172"/>
      <c r="L409" s="173"/>
      <c r="M409" s="384"/>
      <c r="N409" s="384"/>
      <c r="W409" s="179"/>
      <c r="X409" s="179"/>
      <c r="Y409" s="179"/>
      <c r="Z409" s="179"/>
      <c r="AA409" s="179"/>
      <c r="AB409" s="179"/>
      <c r="AC409" s="179"/>
      <c r="AD409" s="179"/>
      <c r="AE409" s="179"/>
      <c r="AF409" s="179"/>
      <c r="AG409" s="179"/>
    </row>
    <row r="410" spans="8:33" x14ac:dyDescent="0.2">
      <c r="H410" s="64"/>
      <c r="I410" s="64"/>
      <c r="J410" s="171"/>
      <c r="K410" s="172"/>
      <c r="L410" s="173"/>
      <c r="M410" s="384"/>
      <c r="N410" s="384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</row>
    <row r="411" spans="8:33" x14ac:dyDescent="0.2">
      <c r="H411" s="64"/>
      <c r="I411" s="64"/>
      <c r="J411" s="171"/>
      <c r="K411" s="172"/>
      <c r="L411" s="173"/>
      <c r="M411" s="384"/>
      <c r="N411" s="384"/>
      <c r="W411" s="179"/>
      <c r="X411" s="179"/>
      <c r="Y411" s="179"/>
      <c r="Z411" s="179"/>
      <c r="AA411" s="179"/>
      <c r="AB411" s="179"/>
      <c r="AC411" s="179"/>
      <c r="AD411" s="179"/>
      <c r="AE411" s="179"/>
      <c r="AF411" s="179"/>
      <c r="AG411" s="179"/>
    </row>
    <row r="412" spans="8:33" x14ac:dyDescent="0.2">
      <c r="H412" s="64"/>
      <c r="I412" s="64"/>
      <c r="J412" s="171"/>
      <c r="K412" s="172"/>
      <c r="L412" s="173"/>
      <c r="M412" s="384"/>
      <c r="N412" s="384"/>
      <c r="W412" s="179"/>
      <c r="X412" s="179"/>
      <c r="Y412" s="179"/>
      <c r="Z412" s="179"/>
      <c r="AA412" s="179"/>
      <c r="AB412" s="179"/>
      <c r="AC412" s="179"/>
      <c r="AD412" s="179"/>
      <c r="AE412" s="179"/>
      <c r="AF412" s="179"/>
      <c r="AG412" s="179"/>
    </row>
    <row r="413" spans="8:33" x14ac:dyDescent="0.2">
      <c r="H413" s="64"/>
      <c r="I413" s="64"/>
      <c r="J413" s="171"/>
      <c r="K413" s="172"/>
      <c r="L413" s="173"/>
      <c r="M413" s="384"/>
      <c r="N413" s="384"/>
      <c r="W413" s="179"/>
      <c r="X413" s="179"/>
      <c r="Y413" s="179"/>
      <c r="Z413" s="179"/>
      <c r="AA413" s="179"/>
      <c r="AB413" s="179"/>
      <c r="AC413" s="179"/>
      <c r="AD413" s="179"/>
      <c r="AE413" s="179"/>
      <c r="AF413" s="179"/>
      <c r="AG413" s="179"/>
    </row>
    <row r="414" spans="8:33" x14ac:dyDescent="0.2">
      <c r="H414" s="64"/>
      <c r="I414" s="64"/>
      <c r="J414" s="171"/>
      <c r="K414" s="172"/>
      <c r="L414" s="173"/>
      <c r="M414" s="384"/>
      <c r="N414" s="384"/>
      <c r="W414" s="179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</row>
    <row r="415" spans="8:33" x14ac:dyDescent="0.2">
      <c r="H415" s="64"/>
      <c r="I415" s="64"/>
      <c r="J415" s="171"/>
      <c r="K415" s="172"/>
      <c r="L415" s="173"/>
      <c r="M415" s="384"/>
      <c r="N415" s="384"/>
      <c r="W415" s="179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</row>
    <row r="416" spans="8:33" x14ac:dyDescent="0.2">
      <c r="H416" s="64"/>
      <c r="I416" s="64"/>
      <c r="J416" s="171"/>
      <c r="K416" s="172"/>
      <c r="L416" s="173"/>
      <c r="M416" s="384"/>
      <c r="N416" s="384"/>
      <c r="W416" s="179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</row>
    <row r="417" spans="8:33" x14ac:dyDescent="0.2">
      <c r="H417" s="64"/>
      <c r="I417" s="64"/>
      <c r="J417" s="171"/>
      <c r="K417" s="172"/>
      <c r="L417" s="173"/>
      <c r="M417" s="384"/>
      <c r="N417" s="384"/>
      <c r="W417" s="179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</row>
    <row r="418" spans="8:33" x14ac:dyDescent="0.2">
      <c r="H418" s="64"/>
      <c r="I418" s="64"/>
      <c r="J418" s="171"/>
      <c r="K418" s="172"/>
      <c r="L418" s="173"/>
      <c r="M418" s="384"/>
      <c r="N418" s="384"/>
      <c r="W418" s="179"/>
      <c r="X418" s="179"/>
      <c r="Y418" s="179"/>
      <c r="Z418" s="179"/>
      <c r="AA418" s="179"/>
      <c r="AB418" s="179"/>
      <c r="AC418" s="179"/>
      <c r="AD418" s="179"/>
      <c r="AE418" s="179"/>
      <c r="AF418" s="179"/>
      <c r="AG418" s="179"/>
    </row>
    <row r="419" spans="8:33" x14ac:dyDescent="0.2">
      <c r="H419" s="64"/>
      <c r="I419" s="64"/>
      <c r="J419" s="171"/>
      <c r="K419" s="172"/>
      <c r="L419" s="173"/>
      <c r="M419" s="384"/>
      <c r="N419" s="384"/>
      <c r="W419" s="179"/>
      <c r="X419" s="179"/>
      <c r="Y419" s="179"/>
      <c r="Z419" s="179"/>
      <c r="AA419" s="179"/>
      <c r="AB419" s="179"/>
      <c r="AC419" s="179"/>
      <c r="AD419" s="179"/>
      <c r="AE419" s="179"/>
      <c r="AF419" s="179"/>
      <c r="AG419" s="179"/>
    </row>
    <row r="420" spans="8:33" x14ac:dyDescent="0.2">
      <c r="H420" s="64"/>
      <c r="I420" s="64"/>
      <c r="J420" s="171"/>
      <c r="K420" s="174"/>
      <c r="L420" s="174"/>
      <c r="M420" s="385"/>
      <c r="N420" s="385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</row>
    <row r="421" spans="8:33" x14ac:dyDescent="0.2">
      <c r="H421" s="64"/>
      <c r="I421" s="64"/>
      <c r="J421" s="171"/>
      <c r="K421" s="174"/>
      <c r="L421" s="174"/>
      <c r="M421" s="385"/>
      <c r="N421" s="385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</row>
    <row r="422" spans="8:33" x14ac:dyDescent="0.2">
      <c r="H422" s="64"/>
      <c r="I422" s="64"/>
      <c r="J422" s="171"/>
      <c r="K422" s="174"/>
      <c r="L422" s="174"/>
      <c r="M422" s="385"/>
      <c r="N422" s="385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</row>
    <row r="423" spans="8:33" x14ac:dyDescent="0.2">
      <c r="H423" s="64"/>
      <c r="I423" s="64"/>
      <c r="J423" s="171"/>
      <c r="K423" s="174"/>
      <c r="L423" s="174"/>
      <c r="M423" s="385"/>
      <c r="N423" s="385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</row>
    <row r="424" spans="8:33" x14ac:dyDescent="0.2">
      <c r="H424" s="64"/>
      <c r="I424" s="64"/>
      <c r="J424" s="171"/>
      <c r="K424" s="174"/>
      <c r="L424" s="174"/>
      <c r="M424" s="385"/>
      <c r="N424" s="385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</row>
    <row r="425" spans="8:33" x14ac:dyDescent="0.2">
      <c r="H425" s="64"/>
      <c r="I425" s="64"/>
      <c r="J425" s="171"/>
      <c r="K425" s="174"/>
      <c r="L425" s="174"/>
      <c r="M425" s="385"/>
      <c r="N425" s="385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</row>
    <row r="426" spans="8:33" x14ac:dyDescent="0.2">
      <c r="H426" s="64"/>
      <c r="I426" s="64"/>
      <c r="J426" s="171"/>
      <c r="K426" s="174"/>
      <c r="L426" s="174"/>
      <c r="M426" s="385"/>
      <c r="N426" s="385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</row>
    <row r="427" spans="8:33" x14ac:dyDescent="0.2">
      <c r="H427" s="64"/>
      <c r="I427" s="64"/>
      <c r="J427" s="171"/>
      <c r="K427" s="174"/>
      <c r="L427" s="174"/>
      <c r="M427" s="385"/>
      <c r="N427" s="385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</row>
    <row r="428" spans="8:33" x14ac:dyDescent="0.2">
      <c r="H428" s="64"/>
      <c r="I428" s="64"/>
      <c r="J428" s="171"/>
      <c r="K428" s="174"/>
      <c r="L428" s="174"/>
      <c r="M428" s="385"/>
      <c r="N428" s="385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</row>
    <row r="429" spans="8:33" x14ac:dyDescent="0.2">
      <c r="H429" s="64"/>
      <c r="I429" s="64"/>
      <c r="J429" s="171"/>
      <c r="K429" s="174"/>
      <c r="L429" s="174"/>
      <c r="M429" s="385"/>
      <c r="N429" s="385"/>
      <c r="W429" s="179"/>
      <c r="X429" s="179"/>
      <c r="Y429" s="179"/>
      <c r="Z429" s="179"/>
      <c r="AA429" s="179"/>
      <c r="AB429" s="179"/>
      <c r="AC429" s="179"/>
      <c r="AD429" s="179"/>
      <c r="AE429" s="179"/>
      <c r="AF429" s="179"/>
      <c r="AG429" s="179"/>
    </row>
    <row r="430" spans="8:33" x14ac:dyDescent="0.2">
      <c r="H430" s="64"/>
      <c r="I430" s="64"/>
      <c r="J430" s="171"/>
      <c r="K430" s="174"/>
      <c r="L430" s="174"/>
      <c r="M430" s="385"/>
      <c r="N430" s="385"/>
      <c r="W430" s="179"/>
      <c r="X430" s="179"/>
      <c r="Y430" s="179"/>
      <c r="Z430" s="179"/>
      <c r="AA430" s="179"/>
      <c r="AB430" s="179"/>
      <c r="AC430" s="179"/>
      <c r="AD430" s="179"/>
      <c r="AE430" s="179"/>
      <c r="AF430" s="179"/>
      <c r="AG430" s="179"/>
    </row>
    <row r="431" spans="8:33" x14ac:dyDescent="0.2">
      <c r="H431" s="64"/>
      <c r="I431" s="64"/>
      <c r="J431" s="171"/>
      <c r="K431" s="174"/>
      <c r="L431" s="174"/>
      <c r="M431" s="385"/>
      <c r="N431" s="385"/>
      <c r="W431" s="179"/>
      <c r="X431" s="179"/>
      <c r="Y431" s="179"/>
      <c r="Z431" s="179"/>
      <c r="AA431" s="179"/>
      <c r="AB431" s="179"/>
      <c r="AC431" s="179"/>
      <c r="AD431" s="179"/>
      <c r="AE431" s="179"/>
      <c r="AF431" s="179"/>
      <c r="AG431" s="179"/>
    </row>
    <row r="432" spans="8:33" x14ac:dyDescent="0.2">
      <c r="H432" s="64"/>
      <c r="I432" s="64"/>
      <c r="J432" s="171"/>
      <c r="K432" s="174"/>
      <c r="L432" s="174"/>
      <c r="M432" s="385"/>
      <c r="N432" s="385"/>
      <c r="W432" s="179"/>
      <c r="X432" s="179"/>
      <c r="Y432" s="179"/>
      <c r="Z432" s="179"/>
      <c r="AA432" s="179"/>
      <c r="AB432" s="179"/>
      <c r="AC432" s="179"/>
      <c r="AD432" s="179"/>
      <c r="AE432" s="179"/>
      <c r="AF432" s="179"/>
      <c r="AG432" s="179"/>
    </row>
    <row r="433" spans="2:33" x14ac:dyDescent="0.2">
      <c r="H433" s="64"/>
      <c r="I433" s="64"/>
      <c r="J433" s="171"/>
      <c r="K433" s="174"/>
      <c r="L433" s="174"/>
      <c r="M433" s="385"/>
      <c r="N433" s="385"/>
      <c r="W433" s="179"/>
      <c r="X433" s="179"/>
      <c r="Y433" s="179"/>
      <c r="Z433" s="179"/>
      <c r="AA433" s="179"/>
      <c r="AB433" s="179"/>
      <c r="AC433" s="179"/>
      <c r="AD433" s="179"/>
      <c r="AE433" s="179"/>
      <c r="AF433" s="179"/>
      <c r="AG433" s="179"/>
    </row>
    <row r="434" spans="2:33" x14ac:dyDescent="0.2">
      <c r="H434" s="64"/>
      <c r="I434" s="64"/>
      <c r="J434" s="171"/>
      <c r="K434" s="174"/>
      <c r="L434" s="174"/>
      <c r="M434" s="385"/>
      <c r="N434" s="385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</row>
    <row r="435" spans="2:33" x14ac:dyDescent="0.2">
      <c r="H435" s="64"/>
      <c r="I435" s="64"/>
      <c r="J435" s="171"/>
      <c r="K435" s="174"/>
      <c r="L435" s="174"/>
      <c r="M435" s="385"/>
      <c r="N435" s="385"/>
      <c r="W435" s="179"/>
      <c r="X435" s="179"/>
      <c r="Y435" s="179"/>
      <c r="Z435" s="179"/>
      <c r="AA435" s="179"/>
      <c r="AB435" s="179"/>
      <c r="AC435" s="179"/>
      <c r="AD435" s="179"/>
      <c r="AE435" s="179"/>
      <c r="AF435" s="179"/>
      <c r="AG435" s="179"/>
    </row>
    <row r="436" spans="2:33" x14ac:dyDescent="0.2">
      <c r="H436" s="64"/>
      <c r="I436" s="64"/>
      <c r="J436" s="171"/>
      <c r="K436" s="174"/>
      <c r="L436" s="174"/>
      <c r="M436" s="385"/>
      <c r="N436" s="385"/>
      <c r="W436" s="179"/>
      <c r="X436" s="179"/>
      <c r="Y436" s="179"/>
      <c r="Z436" s="179"/>
      <c r="AA436" s="179"/>
      <c r="AB436" s="179"/>
      <c r="AC436" s="179"/>
      <c r="AD436" s="179"/>
      <c r="AE436" s="179"/>
      <c r="AF436" s="179"/>
      <c r="AG436" s="179"/>
    </row>
    <row r="437" spans="2:33" x14ac:dyDescent="0.2">
      <c r="H437" s="64"/>
      <c r="I437" s="64"/>
      <c r="J437" s="171"/>
      <c r="K437" s="174"/>
      <c r="L437" s="174"/>
      <c r="M437" s="385"/>
      <c r="N437" s="385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</row>
    <row r="438" spans="2:33" x14ac:dyDescent="0.2">
      <c r="H438" s="64"/>
      <c r="I438" s="64"/>
      <c r="J438" s="171"/>
      <c r="K438" s="174"/>
      <c r="L438" s="174"/>
      <c r="M438" s="385"/>
      <c r="N438" s="385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</row>
    <row r="439" spans="2:33" x14ac:dyDescent="0.2">
      <c r="H439" s="64"/>
      <c r="I439" s="64"/>
      <c r="J439" s="171"/>
      <c r="K439" s="174"/>
      <c r="L439" s="174"/>
      <c r="M439" s="385"/>
      <c r="N439" s="385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</row>
    <row r="440" spans="2:33" x14ac:dyDescent="0.2">
      <c r="H440" s="64"/>
      <c r="I440" s="64"/>
      <c r="J440" s="171"/>
      <c r="K440" s="174"/>
      <c r="L440" s="174"/>
      <c r="M440" s="385"/>
      <c r="N440" s="385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</row>
    <row r="441" spans="2:33" ht="12" customHeight="1" x14ac:dyDescent="0.2">
      <c r="H441" s="64"/>
      <c r="I441" s="64"/>
      <c r="J441" s="171"/>
      <c r="K441" s="171"/>
      <c r="L441" s="171"/>
      <c r="M441" s="110"/>
      <c r="N441" s="110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</row>
    <row r="442" spans="2:33" ht="12" customHeight="1" x14ac:dyDescent="0.2">
      <c r="B442" s="65"/>
      <c r="C442" s="65"/>
      <c r="D442" s="65"/>
      <c r="E442" s="65"/>
      <c r="F442" s="65"/>
      <c r="G442" s="65"/>
      <c r="H442" s="65"/>
      <c r="I442" s="65"/>
      <c r="J442" s="174"/>
      <c r="K442" s="174"/>
      <c r="L442" s="174"/>
      <c r="M442" s="385"/>
      <c r="N442" s="385"/>
      <c r="O442" s="340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</row>
    <row r="443" spans="2:33" x14ac:dyDescent="0.2">
      <c r="B443" s="65"/>
      <c r="C443" s="65"/>
      <c r="D443" s="65"/>
      <c r="E443" s="65"/>
      <c r="F443" s="65"/>
      <c r="G443" s="65"/>
      <c r="H443" s="65"/>
      <c r="I443" s="65"/>
      <c r="J443" s="174"/>
      <c r="K443" s="174"/>
      <c r="L443" s="174"/>
      <c r="M443" s="385"/>
      <c r="N443" s="385"/>
      <c r="O443" s="340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</row>
    <row r="444" spans="2:33" x14ac:dyDescent="0.2">
      <c r="B444" s="65"/>
      <c r="C444" s="65"/>
      <c r="D444" s="65"/>
      <c r="E444" s="65"/>
      <c r="F444" s="65"/>
      <c r="G444" s="65"/>
      <c r="H444" s="65"/>
      <c r="I444" s="65"/>
      <c r="J444" s="174"/>
      <c r="K444" s="174"/>
      <c r="L444" s="174"/>
      <c r="M444" s="385"/>
      <c r="N444" s="385"/>
      <c r="O444" s="340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</row>
    <row r="445" spans="2:33" x14ac:dyDescent="0.2">
      <c r="B445" s="65"/>
      <c r="C445" s="65"/>
      <c r="D445" s="65"/>
      <c r="E445" s="65"/>
      <c r="F445" s="65"/>
      <c r="G445" s="65"/>
      <c r="H445" s="65"/>
      <c r="I445" s="65"/>
      <c r="J445" s="174"/>
      <c r="K445" s="174"/>
      <c r="L445" s="174"/>
      <c r="M445" s="385"/>
      <c r="N445" s="385"/>
      <c r="O445" s="340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</row>
    <row r="446" spans="2:33" x14ac:dyDescent="0.2">
      <c r="B446" s="65"/>
      <c r="C446" s="65"/>
      <c r="D446" s="65"/>
      <c r="E446" s="65"/>
      <c r="F446" s="65"/>
      <c r="G446" s="65"/>
      <c r="H446" s="65"/>
      <c r="I446" s="65"/>
      <c r="J446" s="174"/>
      <c r="K446" s="174"/>
      <c r="L446" s="174"/>
      <c r="M446" s="385"/>
      <c r="N446" s="385"/>
      <c r="O446" s="340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</row>
    <row r="447" spans="2:33" x14ac:dyDescent="0.2">
      <c r="B447" s="65"/>
      <c r="C447" s="65"/>
      <c r="D447" s="65"/>
      <c r="E447" s="65"/>
      <c r="F447" s="65"/>
      <c r="G447" s="65"/>
      <c r="H447" s="65"/>
      <c r="I447" s="65"/>
      <c r="J447" s="174"/>
      <c r="K447" s="174"/>
      <c r="L447" s="174"/>
      <c r="M447" s="385"/>
      <c r="N447" s="385"/>
      <c r="O447" s="340"/>
      <c r="W447" s="179"/>
      <c r="X447" s="179"/>
      <c r="Y447" s="179"/>
      <c r="Z447" s="179"/>
      <c r="AA447" s="179"/>
      <c r="AB447" s="179"/>
      <c r="AC447" s="179"/>
      <c r="AD447" s="179"/>
      <c r="AE447" s="179"/>
      <c r="AF447" s="179"/>
      <c r="AG447" s="179"/>
    </row>
    <row r="448" spans="2:33" x14ac:dyDescent="0.2">
      <c r="B448" s="65"/>
      <c r="C448" s="65"/>
      <c r="D448" s="65"/>
      <c r="E448" s="65"/>
      <c r="F448" s="65"/>
      <c r="G448" s="65"/>
      <c r="H448" s="65"/>
      <c r="I448" s="65"/>
      <c r="J448" s="174"/>
      <c r="K448" s="174"/>
      <c r="L448" s="174"/>
      <c r="M448" s="385"/>
      <c r="N448" s="385"/>
      <c r="O448" s="340"/>
      <c r="W448" s="179"/>
      <c r="X448" s="179"/>
      <c r="Y448" s="179"/>
      <c r="Z448" s="179"/>
      <c r="AA448" s="179"/>
      <c r="AB448" s="179"/>
      <c r="AC448" s="179"/>
      <c r="AD448" s="179"/>
      <c r="AE448" s="179"/>
      <c r="AF448" s="179"/>
      <c r="AG448" s="179"/>
    </row>
    <row r="449" spans="2:33" x14ac:dyDescent="0.2">
      <c r="B449" s="65"/>
      <c r="C449" s="65"/>
      <c r="D449" s="65"/>
      <c r="E449" s="65"/>
      <c r="F449" s="65"/>
      <c r="G449" s="65"/>
      <c r="H449" s="65"/>
      <c r="I449" s="65"/>
      <c r="J449" s="174"/>
      <c r="K449" s="174"/>
      <c r="L449" s="174"/>
      <c r="M449" s="385"/>
      <c r="N449" s="385"/>
      <c r="O449" s="340"/>
      <c r="W449" s="179"/>
      <c r="X449" s="179"/>
      <c r="Y449" s="179"/>
      <c r="Z449" s="179"/>
      <c r="AA449" s="179"/>
      <c r="AB449" s="179"/>
      <c r="AC449" s="179"/>
      <c r="AD449" s="179"/>
      <c r="AE449" s="179"/>
      <c r="AF449" s="179"/>
      <c r="AG449" s="179"/>
    </row>
    <row r="450" spans="2:33" x14ac:dyDescent="0.2">
      <c r="B450" s="65"/>
      <c r="C450" s="65"/>
      <c r="D450" s="65"/>
      <c r="E450" s="65"/>
      <c r="F450" s="65"/>
      <c r="G450" s="65"/>
      <c r="H450" s="65"/>
      <c r="I450" s="65"/>
      <c r="J450" s="174"/>
      <c r="K450" s="174"/>
      <c r="L450" s="174"/>
      <c r="M450" s="385"/>
      <c r="N450" s="385"/>
      <c r="O450" s="340"/>
      <c r="W450" s="179"/>
      <c r="X450" s="179"/>
      <c r="Y450" s="179"/>
      <c r="Z450" s="179"/>
      <c r="AA450" s="179"/>
      <c r="AB450" s="179"/>
      <c r="AC450" s="179"/>
      <c r="AD450" s="179"/>
      <c r="AE450" s="179"/>
      <c r="AF450" s="179"/>
      <c r="AG450" s="179"/>
    </row>
    <row r="451" spans="2:33" x14ac:dyDescent="0.2">
      <c r="B451" s="65"/>
      <c r="C451" s="65"/>
      <c r="D451" s="65"/>
      <c r="E451" s="65"/>
      <c r="F451" s="65"/>
      <c r="G451" s="65"/>
      <c r="H451" s="65"/>
      <c r="I451" s="65"/>
      <c r="J451" s="174"/>
      <c r="K451" s="174"/>
      <c r="L451" s="174"/>
      <c r="M451" s="385"/>
      <c r="N451" s="385"/>
      <c r="O451" s="340"/>
      <c r="W451" s="179"/>
      <c r="X451" s="179"/>
      <c r="Y451" s="179"/>
      <c r="Z451" s="179"/>
      <c r="AA451" s="179"/>
      <c r="AB451" s="179"/>
      <c r="AC451" s="179"/>
      <c r="AD451" s="179"/>
      <c r="AE451" s="179"/>
      <c r="AF451" s="179"/>
      <c r="AG451" s="179"/>
    </row>
    <row r="452" spans="2:33" x14ac:dyDescent="0.2">
      <c r="B452" s="65"/>
      <c r="C452" s="65"/>
      <c r="D452" s="65"/>
      <c r="E452" s="65"/>
      <c r="F452" s="65"/>
      <c r="G452" s="65"/>
      <c r="H452" s="65"/>
      <c r="I452" s="65"/>
      <c r="J452" s="174"/>
      <c r="K452" s="174"/>
      <c r="L452" s="174"/>
      <c r="M452" s="385"/>
      <c r="N452" s="385"/>
      <c r="O452" s="340"/>
      <c r="W452" s="179"/>
      <c r="X452" s="179"/>
      <c r="Y452" s="179"/>
      <c r="Z452" s="179"/>
      <c r="AA452" s="179"/>
      <c r="AB452" s="179"/>
      <c r="AC452" s="179"/>
      <c r="AD452" s="179"/>
      <c r="AE452" s="179"/>
      <c r="AF452" s="179"/>
      <c r="AG452" s="179"/>
    </row>
    <row r="453" spans="2:33" x14ac:dyDescent="0.2">
      <c r="B453" s="65"/>
      <c r="C453" s="65"/>
      <c r="D453" s="65"/>
      <c r="E453" s="65"/>
      <c r="F453" s="65"/>
      <c r="G453" s="65"/>
      <c r="H453" s="65"/>
      <c r="I453" s="65"/>
      <c r="J453" s="174"/>
      <c r="K453" s="174"/>
      <c r="L453" s="174"/>
      <c r="M453" s="385"/>
      <c r="N453" s="385"/>
      <c r="O453" s="340"/>
      <c r="W453" s="179"/>
      <c r="X453" s="179"/>
      <c r="Y453" s="179"/>
      <c r="Z453" s="179"/>
      <c r="AA453" s="179"/>
      <c r="AB453" s="179"/>
      <c r="AC453" s="179"/>
      <c r="AD453" s="179"/>
      <c r="AE453" s="179"/>
      <c r="AF453" s="179"/>
      <c r="AG453" s="179"/>
    </row>
    <row r="454" spans="2:33" x14ac:dyDescent="0.2">
      <c r="B454" s="65"/>
      <c r="C454" s="65"/>
      <c r="D454" s="65"/>
      <c r="E454" s="65"/>
      <c r="F454" s="65"/>
      <c r="G454" s="65"/>
      <c r="H454" s="65"/>
      <c r="I454" s="65"/>
      <c r="J454" s="174"/>
      <c r="K454" s="174"/>
      <c r="L454" s="174"/>
      <c r="M454" s="385"/>
      <c r="N454" s="385"/>
      <c r="O454" s="340"/>
      <c r="W454" s="179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</row>
    <row r="455" spans="2:33" x14ac:dyDescent="0.2">
      <c r="B455" s="65"/>
      <c r="C455" s="65"/>
      <c r="D455" s="65"/>
      <c r="E455" s="65"/>
      <c r="F455" s="65"/>
      <c r="G455" s="65"/>
      <c r="H455" s="65"/>
      <c r="I455" s="65"/>
      <c r="J455" s="174"/>
      <c r="K455" s="174"/>
      <c r="L455" s="174"/>
      <c r="M455" s="385"/>
      <c r="N455" s="385"/>
      <c r="O455" s="340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</row>
    <row r="456" spans="2:33" x14ac:dyDescent="0.2">
      <c r="B456" s="65"/>
      <c r="C456" s="66"/>
      <c r="D456" s="66"/>
      <c r="E456" s="66"/>
      <c r="F456" s="66"/>
      <c r="G456" s="67"/>
      <c r="H456" s="68"/>
      <c r="I456" s="68"/>
      <c r="J456" s="174"/>
      <c r="K456" s="174"/>
      <c r="L456" s="174"/>
      <c r="M456" s="385"/>
      <c r="N456" s="385"/>
      <c r="O456" s="340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</row>
    <row r="457" spans="2:33" x14ac:dyDescent="0.2">
      <c r="B457" s="65"/>
      <c r="C457" s="69"/>
      <c r="D457" s="69"/>
      <c r="E457" s="69"/>
      <c r="F457" s="69"/>
      <c r="G457" s="69"/>
      <c r="J457" s="174"/>
      <c r="K457" s="174"/>
      <c r="L457" s="174"/>
      <c r="M457" s="385"/>
      <c r="N457" s="385"/>
      <c r="O457" s="340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</row>
    <row r="458" spans="2:33" x14ac:dyDescent="0.2">
      <c r="B458" s="65"/>
      <c r="C458" s="69"/>
      <c r="D458" s="69"/>
      <c r="E458" s="69"/>
      <c r="F458" s="69"/>
      <c r="G458" s="69"/>
      <c r="J458" s="174"/>
      <c r="K458" s="174"/>
      <c r="L458" s="174"/>
      <c r="M458" s="385"/>
      <c r="N458" s="385"/>
      <c r="O458" s="340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</row>
    <row r="459" spans="2:33" x14ac:dyDescent="0.2">
      <c r="B459" s="65"/>
      <c r="C459" s="68"/>
      <c r="D459" s="68"/>
      <c r="E459" s="68"/>
      <c r="F459" s="68"/>
      <c r="G459" s="68"/>
      <c r="H459" s="68"/>
      <c r="I459" s="68"/>
      <c r="J459" s="174"/>
      <c r="K459" s="174"/>
      <c r="L459" s="174"/>
      <c r="M459" s="385"/>
      <c r="N459" s="385"/>
      <c r="O459" s="340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</row>
    <row r="460" spans="2:33" x14ac:dyDescent="0.2">
      <c r="B460" s="65"/>
      <c r="C460" s="68"/>
      <c r="D460" s="68"/>
      <c r="E460" s="68"/>
      <c r="F460" s="68"/>
      <c r="G460" s="21"/>
      <c r="H460" s="20"/>
      <c r="I460" s="68"/>
      <c r="J460" s="174"/>
      <c r="K460" s="174"/>
      <c r="L460" s="174"/>
      <c r="M460" s="385"/>
      <c r="N460" s="385"/>
      <c r="O460" s="340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</row>
    <row r="461" spans="2:33" x14ac:dyDescent="0.2">
      <c r="B461" s="65"/>
      <c r="C461" s="68"/>
      <c r="D461" s="68"/>
      <c r="E461" s="68"/>
      <c r="F461" s="68"/>
      <c r="G461" s="21"/>
      <c r="H461" s="68"/>
      <c r="I461" s="68"/>
      <c r="J461" s="174"/>
      <c r="K461" s="174"/>
      <c r="L461" s="174"/>
      <c r="M461" s="385"/>
      <c r="N461" s="385"/>
      <c r="O461" s="340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</row>
    <row r="462" spans="2:33" x14ac:dyDescent="0.2">
      <c r="B462" s="65"/>
      <c r="C462" s="68"/>
      <c r="D462" s="68"/>
      <c r="E462" s="68"/>
      <c r="F462" s="68"/>
      <c r="G462" s="21"/>
      <c r="H462" s="68"/>
      <c r="I462" s="68"/>
      <c r="J462" s="174"/>
      <c r="K462" s="174"/>
      <c r="L462" s="174"/>
      <c r="M462" s="385"/>
      <c r="N462" s="385"/>
      <c r="O462" s="340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</row>
    <row r="463" spans="2:33" x14ac:dyDescent="0.2">
      <c r="B463" s="65"/>
      <c r="C463" s="68"/>
      <c r="D463" s="68"/>
      <c r="E463" s="68"/>
      <c r="F463" s="68"/>
      <c r="G463" s="21"/>
      <c r="H463" s="68"/>
      <c r="I463" s="68"/>
      <c r="J463" s="174"/>
      <c r="K463" s="174"/>
      <c r="L463" s="174"/>
      <c r="M463" s="385"/>
      <c r="N463" s="385"/>
      <c r="O463" s="340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</row>
    <row r="464" spans="2:33" x14ac:dyDescent="0.2">
      <c r="B464" s="65"/>
      <c r="C464" s="68"/>
      <c r="D464" s="68"/>
      <c r="E464" s="68"/>
      <c r="F464" s="68"/>
      <c r="G464" s="21"/>
      <c r="H464" s="68"/>
      <c r="I464" s="68"/>
      <c r="J464" s="174"/>
      <c r="K464" s="174"/>
      <c r="L464" s="174"/>
      <c r="M464" s="385"/>
      <c r="N464" s="385"/>
      <c r="O464" s="340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</row>
    <row r="465" spans="2:33" x14ac:dyDescent="0.2">
      <c r="B465" s="65"/>
      <c r="C465" s="68"/>
      <c r="D465" s="68"/>
      <c r="E465" s="68"/>
      <c r="F465" s="68"/>
      <c r="G465" s="68"/>
      <c r="H465" s="68"/>
      <c r="I465" s="68"/>
      <c r="J465" s="174"/>
      <c r="K465" s="174"/>
      <c r="L465" s="174"/>
      <c r="M465" s="385"/>
      <c r="N465" s="385"/>
      <c r="O465" s="340"/>
      <c r="W465" s="179"/>
      <c r="X465" s="179"/>
      <c r="Y465" s="179"/>
      <c r="Z465" s="179"/>
      <c r="AA465" s="179"/>
      <c r="AB465" s="179"/>
      <c r="AC465" s="179"/>
      <c r="AD465" s="179"/>
      <c r="AE465" s="179"/>
      <c r="AF465" s="179"/>
      <c r="AG465" s="179"/>
    </row>
    <row r="466" spans="2:33" x14ac:dyDescent="0.2">
      <c r="B466" s="22"/>
      <c r="C466" s="22"/>
      <c r="D466" s="22"/>
      <c r="E466" s="22"/>
      <c r="F466" s="22"/>
      <c r="G466" s="22"/>
      <c r="H466" s="22"/>
      <c r="I466" s="22"/>
      <c r="J466" s="174"/>
      <c r="K466" s="174"/>
      <c r="L466" s="174"/>
      <c r="M466" s="385"/>
      <c r="N466" s="385"/>
      <c r="O466" s="340"/>
      <c r="W466" s="179"/>
      <c r="X466" s="179"/>
      <c r="Y466" s="179"/>
      <c r="Z466" s="179"/>
      <c r="AA466" s="179"/>
      <c r="AB466" s="179"/>
      <c r="AC466" s="179"/>
      <c r="AD466" s="179"/>
      <c r="AE466" s="179"/>
      <c r="AF466" s="179"/>
      <c r="AG466" s="179"/>
    </row>
    <row r="467" spans="2:33" x14ac:dyDescent="0.2">
      <c r="B467" s="23"/>
      <c r="C467" s="23"/>
      <c r="D467" s="23"/>
      <c r="E467" s="23"/>
      <c r="F467" s="23"/>
      <c r="G467" s="23"/>
      <c r="H467" s="23"/>
      <c r="I467" s="23"/>
      <c r="J467" s="171"/>
      <c r="K467" s="171"/>
      <c r="L467" s="171"/>
      <c r="M467" s="110"/>
      <c r="N467" s="110"/>
      <c r="W467" s="179"/>
      <c r="X467" s="179"/>
      <c r="Y467" s="179"/>
      <c r="Z467" s="179"/>
      <c r="AA467" s="179"/>
      <c r="AB467" s="179"/>
      <c r="AC467" s="179"/>
      <c r="AD467" s="179"/>
      <c r="AE467" s="179"/>
      <c r="AF467" s="179"/>
      <c r="AG467" s="179"/>
    </row>
    <row r="468" spans="2:33" x14ac:dyDescent="0.2">
      <c r="B468" s="23"/>
      <c r="C468" s="23"/>
      <c r="D468" s="23"/>
      <c r="E468" s="23"/>
      <c r="F468" s="23"/>
      <c r="G468" s="23"/>
      <c r="H468" s="23"/>
      <c r="I468" s="23"/>
      <c r="J468" s="171"/>
      <c r="K468" s="171"/>
      <c r="L468" s="171"/>
      <c r="M468" s="110"/>
      <c r="N468" s="110"/>
      <c r="W468" s="179"/>
      <c r="X468" s="179"/>
      <c r="Y468" s="179"/>
      <c r="Z468" s="179"/>
      <c r="AA468" s="179"/>
      <c r="AB468" s="179"/>
      <c r="AC468" s="179"/>
      <c r="AD468" s="179"/>
      <c r="AE468" s="179"/>
      <c r="AF468" s="179"/>
      <c r="AG468" s="179"/>
    </row>
    <row r="469" spans="2:33" x14ac:dyDescent="0.2">
      <c r="B469" s="23"/>
      <c r="C469" s="23"/>
      <c r="D469" s="23"/>
      <c r="E469" s="23"/>
      <c r="F469" s="23"/>
      <c r="G469" s="23"/>
      <c r="H469" s="23"/>
      <c r="I469" s="23"/>
      <c r="J469" s="171"/>
      <c r="K469" s="171"/>
      <c r="L469" s="171"/>
      <c r="M469" s="110"/>
      <c r="N469" s="110"/>
      <c r="W469" s="179"/>
      <c r="X469" s="179"/>
      <c r="Y469" s="179"/>
      <c r="Z469" s="179"/>
      <c r="AA469" s="179"/>
      <c r="AB469" s="179"/>
      <c r="AC469" s="179"/>
      <c r="AD469" s="179"/>
      <c r="AE469" s="179"/>
      <c r="AF469" s="179"/>
      <c r="AG469" s="179"/>
    </row>
    <row r="470" spans="2:33" x14ac:dyDescent="0.2">
      <c r="B470" s="23"/>
      <c r="C470" s="23"/>
      <c r="D470" s="23"/>
      <c r="E470" s="23"/>
      <c r="F470" s="23"/>
      <c r="G470" s="23"/>
      <c r="H470" s="23"/>
      <c r="I470" s="23"/>
      <c r="J470" s="171"/>
      <c r="K470" s="171"/>
      <c r="L470" s="171"/>
      <c r="M470" s="110"/>
      <c r="N470" s="110"/>
      <c r="W470" s="179"/>
      <c r="X470" s="179"/>
      <c r="Y470" s="179"/>
      <c r="Z470" s="179"/>
      <c r="AA470" s="179"/>
      <c r="AB470" s="179"/>
      <c r="AC470" s="179"/>
      <c r="AD470" s="179"/>
      <c r="AE470" s="179"/>
      <c r="AF470" s="179"/>
      <c r="AG470" s="179"/>
    </row>
    <row r="471" spans="2:33" x14ac:dyDescent="0.2">
      <c r="B471" s="23"/>
      <c r="C471" s="23"/>
      <c r="D471" s="23"/>
      <c r="E471" s="23"/>
      <c r="F471" s="23"/>
      <c r="G471" s="23"/>
      <c r="H471" s="23"/>
      <c r="I471" s="23"/>
      <c r="J471" s="171"/>
      <c r="K471" s="171"/>
      <c r="L471" s="171"/>
      <c r="M471" s="110"/>
      <c r="N471" s="110"/>
      <c r="W471" s="179"/>
      <c r="X471" s="179"/>
      <c r="Y471" s="179"/>
      <c r="Z471" s="179"/>
      <c r="AA471" s="179"/>
      <c r="AB471" s="179"/>
      <c r="AC471" s="179"/>
      <c r="AD471" s="179"/>
      <c r="AE471" s="179"/>
      <c r="AF471" s="179"/>
      <c r="AG471" s="179"/>
    </row>
    <row r="472" spans="2:33" x14ac:dyDescent="0.2">
      <c r="B472" s="23"/>
      <c r="C472" s="23"/>
      <c r="D472" s="23"/>
      <c r="E472" s="23"/>
      <c r="F472" s="23"/>
      <c r="G472" s="23"/>
      <c r="H472" s="23"/>
      <c r="I472" s="23"/>
      <c r="J472" s="171"/>
      <c r="K472" s="171"/>
      <c r="L472" s="171"/>
      <c r="M472" s="110"/>
      <c r="N472" s="110"/>
      <c r="W472" s="179"/>
      <c r="X472" s="179"/>
      <c r="Y472" s="179"/>
      <c r="Z472" s="179"/>
      <c r="AA472" s="179"/>
      <c r="AB472" s="179"/>
      <c r="AC472" s="179"/>
      <c r="AD472" s="179"/>
      <c r="AE472" s="179"/>
      <c r="AF472" s="179"/>
      <c r="AG472" s="179"/>
    </row>
    <row r="473" spans="2:33" x14ac:dyDescent="0.2">
      <c r="B473" s="23"/>
      <c r="C473" s="23"/>
      <c r="D473" s="23"/>
      <c r="E473" s="23"/>
      <c r="F473" s="23"/>
      <c r="G473" s="23"/>
      <c r="H473" s="23"/>
      <c r="I473" s="23"/>
      <c r="J473" s="171"/>
      <c r="K473" s="171"/>
      <c r="L473" s="171"/>
      <c r="M473" s="110"/>
      <c r="N473" s="110"/>
      <c r="W473" s="179"/>
      <c r="X473" s="179"/>
      <c r="Y473" s="179"/>
      <c r="Z473" s="179"/>
      <c r="AA473" s="179"/>
      <c r="AB473" s="179"/>
      <c r="AC473" s="179"/>
      <c r="AD473" s="179"/>
      <c r="AE473" s="179"/>
      <c r="AF473" s="179"/>
      <c r="AG473" s="179"/>
    </row>
    <row r="474" spans="2:33" x14ac:dyDescent="0.2">
      <c r="B474" s="23"/>
      <c r="C474" s="23"/>
      <c r="D474" s="23"/>
      <c r="E474" s="23"/>
      <c r="F474" s="23"/>
      <c r="G474" s="23"/>
      <c r="H474" s="23"/>
      <c r="I474" s="23"/>
      <c r="J474" s="171"/>
      <c r="K474" s="171"/>
      <c r="L474" s="171"/>
      <c r="M474" s="110"/>
      <c r="N474" s="110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/>
      <c r="AG474" s="179"/>
    </row>
    <row r="475" spans="2:33" x14ac:dyDescent="0.2">
      <c r="B475" s="23"/>
      <c r="C475" s="23"/>
      <c r="D475" s="23"/>
      <c r="E475" s="23"/>
      <c r="F475" s="23"/>
      <c r="G475" s="23"/>
      <c r="H475" s="23"/>
      <c r="I475" s="23"/>
      <c r="J475" s="171"/>
      <c r="K475" s="171"/>
      <c r="L475" s="171"/>
      <c r="M475" s="110"/>
      <c r="N475" s="110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</row>
    <row r="476" spans="2:33" x14ac:dyDescent="0.2">
      <c r="B476" s="23"/>
      <c r="C476" s="23"/>
      <c r="D476" s="23"/>
      <c r="E476" s="23"/>
      <c r="F476" s="23"/>
      <c r="G476" s="23"/>
      <c r="H476" s="23"/>
      <c r="I476" s="23"/>
      <c r="J476" s="171"/>
      <c r="K476" s="171"/>
      <c r="L476" s="171"/>
      <c r="M476" s="110"/>
      <c r="N476" s="110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</row>
    <row r="477" spans="2:33" x14ac:dyDescent="0.2">
      <c r="B477" s="23"/>
      <c r="C477" s="23"/>
      <c r="D477" s="23"/>
      <c r="E477" s="23"/>
      <c r="F477" s="23"/>
      <c r="G477" s="23"/>
      <c r="H477" s="23"/>
      <c r="I477" s="23"/>
      <c r="J477" s="171"/>
      <c r="K477" s="171"/>
      <c r="L477" s="171"/>
      <c r="M477" s="110"/>
      <c r="N477" s="110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</row>
    <row r="478" spans="2:33" x14ac:dyDescent="0.2">
      <c r="B478" s="23"/>
      <c r="C478" s="23"/>
      <c r="D478" s="23"/>
      <c r="E478" s="23"/>
      <c r="F478" s="23"/>
      <c r="G478" s="23"/>
      <c r="H478" s="23"/>
      <c r="I478" s="23"/>
      <c r="J478" s="171"/>
      <c r="K478" s="171"/>
      <c r="L478" s="171"/>
      <c r="M478" s="110"/>
      <c r="N478" s="110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/>
      <c r="AG478" s="179"/>
    </row>
    <row r="479" spans="2:33" x14ac:dyDescent="0.2">
      <c r="B479" s="23"/>
      <c r="C479" s="23"/>
      <c r="D479" s="23"/>
      <c r="E479" s="23"/>
      <c r="F479" s="23"/>
      <c r="G479" s="23"/>
      <c r="H479" s="23"/>
      <c r="I479" s="23"/>
      <c r="J479" s="171"/>
      <c r="K479" s="171"/>
      <c r="L479" s="171"/>
      <c r="M479" s="110"/>
      <c r="N479" s="110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/>
      <c r="AG479" s="179"/>
    </row>
    <row r="480" spans="2:33" x14ac:dyDescent="0.2">
      <c r="B480" s="23"/>
      <c r="C480" s="23"/>
      <c r="D480" s="23"/>
      <c r="E480" s="23"/>
      <c r="F480" s="23"/>
      <c r="G480" s="23"/>
      <c r="H480" s="23"/>
      <c r="I480" s="23"/>
      <c r="J480" s="171"/>
      <c r="K480" s="171"/>
      <c r="L480" s="171"/>
      <c r="M480" s="110"/>
      <c r="N480" s="110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</row>
    <row r="481" spans="2:33" x14ac:dyDescent="0.2">
      <c r="B481" s="23"/>
      <c r="C481" s="23"/>
      <c r="D481" s="23"/>
      <c r="E481" s="23"/>
      <c r="F481" s="23"/>
      <c r="G481" s="23"/>
      <c r="H481" s="23"/>
      <c r="I481" s="23"/>
      <c r="J481" s="171"/>
      <c r="K481" s="171"/>
      <c r="L481" s="171"/>
      <c r="M481" s="110"/>
      <c r="N481" s="110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</row>
    <row r="482" spans="2:33" x14ac:dyDescent="0.2">
      <c r="C482" s="64"/>
      <c r="D482" s="64"/>
      <c r="E482" s="64"/>
      <c r="F482" s="64"/>
      <c r="G482" s="64"/>
      <c r="H482" s="64"/>
      <c r="I482" s="64"/>
      <c r="J482" s="171"/>
      <c r="K482" s="171"/>
      <c r="L482" s="171"/>
      <c r="M482" s="110"/>
      <c r="N482" s="110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</row>
    <row r="483" spans="2:33" x14ac:dyDescent="0.2">
      <c r="C483" s="64"/>
      <c r="D483" s="64"/>
      <c r="E483" s="64"/>
      <c r="F483" s="64"/>
      <c r="G483" s="64"/>
      <c r="H483" s="64"/>
      <c r="I483" s="64"/>
      <c r="J483" s="171"/>
      <c r="K483" s="171"/>
      <c r="L483" s="171"/>
      <c r="M483" s="110"/>
      <c r="N483" s="110"/>
      <c r="W483" s="179"/>
      <c r="X483" s="179"/>
      <c r="Y483" s="179"/>
      <c r="Z483" s="179"/>
      <c r="AA483" s="179"/>
      <c r="AB483" s="179"/>
      <c r="AC483" s="179"/>
      <c r="AD483" s="179"/>
      <c r="AE483" s="179"/>
      <c r="AF483" s="179"/>
      <c r="AG483" s="179"/>
    </row>
    <row r="484" spans="2:33" x14ac:dyDescent="0.2">
      <c r="C484" s="64"/>
      <c r="D484" s="64"/>
      <c r="E484" s="64"/>
      <c r="F484" s="64"/>
      <c r="G484" s="64"/>
      <c r="H484" s="64"/>
      <c r="I484" s="64"/>
      <c r="J484" s="171"/>
      <c r="K484" s="171"/>
      <c r="L484" s="171"/>
      <c r="M484" s="110"/>
      <c r="N484" s="110"/>
      <c r="W484" s="179"/>
      <c r="X484" s="179"/>
      <c r="Y484" s="179"/>
      <c r="Z484" s="179"/>
      <c r="AA484" s="179"/>
      <c r="AB484" s="179"/>
      <c r="AC484" s="179"/>
      <c r="AD484" s="179"/>
      <c r="AE484" s="179"/>
      <c r="AF484" s="179"/>
      <c r="AG484" s="179"/>
    </row>
    <row r="485" spans="2:33" x14ac:dyDescent="0.2">
      <c r="C485" s="64"/>
      <c r="D485" s="64"/>
      <c r="E485" s="64"/>
      <c r="F485" s="64"/>
      <c r="G485" s="64"/>
      <c r="H485" s="64"/>
      <c r="I485" s="64"/>
      <c r="J485" s="171"/>
      <c r="K485" s="171"/>
      <c r="L485" s="171"/>
      <c r="M485" s="110"/>
      <c r="N485" s="110"/>
      <c r="W485" s="179"/>
      <c r="X485" s="179"/>
      <c r="Y485" s="179"/>
      <c r="Z485" s="179"/>
      <c r="AA485" s="179"/>
      <c r="AB485" s="179"/>
      <c r="AC485" s="179"/>
      <c r="AD485" s="179"/>
      <c r="AE485" s="179"/>
      <c r="AF485" s="179"/>
      <c r="AG485" s="179"/>
    </row>
    <row r="486" spans="2:33" x14ac:dyDescent="0.2">
      <c r="C486" s="64"/>
      <c r="D486" s="64"/>
      <c r="E486" s="64"/>
      <c r="F486" s="64"/>
      <c r="G486" s="64"/>
      <c r="H486" s="64"/>
      <c r="I486" s="64"/>
      <c r="J486" s="171"/>
      <c r="K486" s="171"/>
      <c r="L486" s="171"/>
      <c r="M486" s="110"/>
      <c r="N486" s="110"/>
      <c r="W486" s="179"/>
      <c r="X486" s="179"/>
      <c r="Y486" s="179"/>
      <c r="Z486" s="179"/>
      <c r="AA486" s="179"/>
      <c r="AB486" s="179"/>
      <c r="AC486" s="179"/>
      <c r="AD486" s="179"/>
      <c r="AE486" s="179"/>
      <c r="AF486" s="179"/>
      <c r="AG486" s="179"/>
    </row>
    <row r="487" spans="2:33" x14ac:dyDescent="0.2">
      <c r="H487" s="64"/>
      <c r="I487" s="64"/>
      <c r="J487" s="171"/>
      <c r="K487" s="171"/>
      <c r="L487" s="171"/>
      <c r="M487" s="110"/>
      <c r="N487" s="110"/>
      <c r="W487" s="179"/>
      <c r="X487" s="179"/>
      <c r="Y487" s="179"/>
      <c r="Z487" s="179"/>
      <c r="AA487" s="179"/>
      <c r="AB487" s="179"/>
      <c r="AC487" s="179"/>
      <c r="AD487" s="179"/>
      <c r="AE487" s="179"/>
      <c r="AF487" s="179"/>
      <c r="AG487" s="179"/>
    </row>
    <row r="488" spans="2:33" x14ac:dyDescent="0.2">
      <c r="H488" s="64"/>
      <c r="I488" s="64"/>
      <c r="J488" s="171"/>
      <c r="K488" s="171"/>
      <c r="L488" s="171"/>
      <c r="M488" s="110"/>
      <c r="N488" s="110"/>
      <c r="W488" s="179"/>
      <c r="X488" s="179"/>
      <c r="Y488" s="179"/>
      <c r="Z488" s="179"/>
      <c r="AA488" s="179"/>
      <c r="AB488" s="179"/>
      <c r="AC488" s="179"/>
      <c r="AD488" s="179"/>
      <c r="AE488" s="179"/>
      <c r="AF488" s="179"/>
      <c r="AG488" s="179"/>
    </row>
    <row r="489" spans="2:33" x14ac:dyDescent="0.2">
      <c r="H489" s="64"/>
      <c r="I489" s="64"/>
      <c r="J489" s="171"/>
      <c r="K489" s="171"/>
      <c r="L489" s="171"/>
      <c r="M489" s="110"/>
      <c r="N489" s="110"/>
      <c r="W489" s="179"/>
      <c r="X489" s="179"/>
      <c r="Y489" s="179"/>
      <c r="Z489" s="179"/>
      <c r="AA489" s="179"/>
      <c r="AB489" s="179"/>
      <c r="AC489" s="179"/>
      <c r="AD489" s="179"/>
      <c r="AE489" s="179"/>
      <c r="AF489" s="179"/>
      <c r="AG489" s="179"/>
    </row>
    <row r="490" spans="2:33" x14ac:dyDescent="0.2">
      <c r="H490" s="64"/>
      <c r="I490" s="64"/>
      <c r="J490" s="171"/>
      <c r="K490" s="171"/>
      <c r="L490" s="171"/>
      <c r="M490" s="110"/>
      <c r="N490" s="110"/>
      <c r="W490" s="179"/>
      <c r="X490" s="179"/>
      <c r="Y490" s="179"/>
      <c r="Z490" s="179"/>
      <c r="AA490" s="179"/>
      <c r="AB490" s="179"/>
      <c r="AC490" s="179"/>
      <c r="AD490" s="179"/>
      <c r="AE490" s="179"/>
      <c r="AF490" s="179"/>
      <c r="AG490" s="179"/>
    </row>
    <row r="491" spans="2:33" x14ac:dyDescent="0.2">
      <c r="H491" s="64"/>
      <c r="I491" s="64"/>
      <c r="J491" s="171"/>
      <c r="K491" s="171"/>
      <c r="L491" s="171"/>
      <c r="M491" s="110"/>
      <c r="N491" s="110"/>
      <c r="W491" s="179"/>
      <c r="X491" s="179"/>
      <c r="Y491" s="179"/>
      <c r="Z491" s="179"/>
      <c r="AA491" s="179"/>
      <c r="AB491" s="179"/>
      <c r="AC491" s="179"/>
      <c r="AD491" s="179"/>
      <c r="AE491" s="179"/>
      <c r="AF491" s="179"/>
      <c r="AG491" s="179"/>
    </row>
    <row r="492" spans="2:33" x14ac:dyDescent="0.2">
      <c r="H492" s="64"/>
      <c r="I492" s="64"/>
      <c r="J492" s="171"/>
      <c r="K492" s="171"/>
      <c r="L492" s="171"/>
      <c r="M492" s="110"/>
      <c r="N492" s="110"/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</row>
    <row r="493" spans="2:33" x14ac:dyDescent="0.2">
      <c r="H493" s="64"/>
      <c r="I493" s="64"/>
      <c r="J493" s="171"/>
      <c r="K493" s="171"/>
      <c r="L493" s="171"/>
      <c r="M493" s="110"/>
      <c r="N493" s="110"/>
      <c r="W493" s="179"/>
      <c r="X493" s="179"/>
      <c r="Y493" s="179"/>
      <c r="Z493" s="179"/>
      <c r="AA493" s="179"/>
      <c r="AB493" s="179"/>
      <c r="AC493" s="179"/>
      <c r="AD493" s="179"/>
      <c r="AE493" s="179"/>
      <c r="AF493" s="179"/>
      <c r="AG493" s="179"/>
    </row>
    <row r="494" spans="2:33" x14ac:dyDescent="0.2">
      <c r="H494" s="64"/>
      <c r="I494" s="64"/>
      <c r="J494" s="171"/>
      <c r="K494" s="171"/>
      <c r="L494" s="171"/>
      <c r="M494" s="110"/>
      <c r="N494" s="110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</row>
    <row r="495" spans="2:33" x14ac:dyDescent="0.2">
      <c r="H495" s="64"/>
      <c r="I495" s="64"/>
      <c r="J495" s="171"/>
      <c r="K495" s="171"/>
      <c r="L495" s="171"/>
      <c r="M495" s="110"/>
      <c r="N495" s="110"/>
      <c r="W495" s="179"/>
      <c r="X495" s="179"/>
      <c r="Y495" s="179"/>
      <c r="Z495" s="179"/>
      <c r="AA495" s="179"/>
      <c r="AB495" s="179"/>
      <c r="AC495" s="179"/>
      <c r="AD495" s="179"/>
      <c r="AE495" s="179"/>
      <c r="AF495" s="179"/>
      <c r="AG495" s="179"/>
    </row>
    <row r="496" spans="2:33" x14ac:dyDescent="0.2">
      <c r="H496" s="64"/>
      <c r="I496" s="64"/>
      <c r="J496" s="171"/>
      <c r="K496" s="171"/>
      <c r="L496" s="171"/>
      <c r="M496" s="110"/>
      <c r="N496" s="110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</row>
    <row r="497" spans="8:33" x14ac:dyDescent="0.2">
      <c r="H497" s="64"/>
      <c r="I497" s="64"/>
      <c r="J497" s="171"/>
      <c r="K497" s="171"/>
      <c r="L497" s="171"/>
      <c r="M497" s="110"/>
      <c r="N497" s="110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</row>
    <row r="498" spans="8:33" x14ac:dyDescent="0.2">
      <c r="H498" s="64"/>
      <c r="I498" s="64"/>
      <c r="J498" s="171"/>
      <c r="K498" s="171"/>
      <c r="L498" s="171"/>
      <c r="M498" s="110"/>
      <c r="N498" s="110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</row>
    <row r="499" spans="8:33" x14ac:dyDescent="0.2">
      <c r="H499" s="64"/>
      <c r="I499" s="64"/>
      <c r="J499" s="171"/>
      <c r="K499" s="171"/>
      <c r="L499" s="171"/>
      <c r="M499" s="110"/>
      <c r="N499" s="110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</row>
    <row r="500" spans="8:33" x14ac:dyDescent="0.2">
      <c r="H500" s="64"/>
      <c r="I500" s="64"/>
      <c r="J500" s="171"/>
      <c r="K500" s="171"/>
      <c r="L500" s="171"/>
      <c r="M500" s="110"/>
      <c r="N500" s="110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</row>
    <row r="501" spans="8:33" x14ac:dyDescent="0.2">
      <c r="H501" s="64"/>
      <c r="I501" s="64"/>
      <c r="J501" s="171"/>
      <c r="K501" s="171"/>
      <c r="L501" s="171"/>
      <c r="M501" s="110"/>
      <c r="N501" s="110"/>
      <c r="W501" s="179"/>
      <c r="X501" s="179"/>
      <c r="Y501" s="179"/>
      <c r="Z501" s="179"/>
      <c r="AA501" s="179"/>
      <c r="AB501" s="179"/>
      <c r="AC501" s="179"/>
      <c r="AD501" s="179"/>
      <c r="AE501" s="179"/>
      <c r="AF501" s="179"/>
      <c r="AG501" s="179"/>
    </row>
    <row r="502" spans="8:33" x14ac:dyDescent="0.2">
      <c r="H502" s="64"/>
      <c r="I502" s="64"/>
      <c r="J502" s="171"/>
      <c r="K502" s="171"/>
      <c r="L502" s="171"/>
      <c r="M502" s="110"/>
      <c r="N502" s="110"/>
      <c r="W502" s="179"/>
      <c r="X502" s="179"/>
      <c r="Y502" s="179"/>
      <c r="Z502" s="179"/>
      <c r="AA502" s="179"/>
      <c r="AB502" s="179"/>
      <c r="AC502" s="179"/>
      <c r="AD502" s="179"/>
      <c r="AE502" s="179"/>
      <c r="AF502" s="179"/>
      <c r="AG502" s="179"/>
    </row>
    <row r="503" spans="8:33" x14ac:dyDescent="0.2">
      <c r="H503" s="64"/>
      <c r="I503" s="64"/>
      <c r="J503" s="171"/>
      <c r="K503" s="171"/>
      <c r="L503" s="171"/>
      <c r="M503" s="110"/>
      <c r="N503" s="110"/>
      <c r="W503" s="179"/>
      <c r="X503" s="179"/>
      <c r="Y503" s="179"/>
      <c r="Z503" s="179"/>
      <c r="AA503" s="179"/>
      <c r="AB503" s="179"/>
      <c r="AC503" s="179"/>
      <c r="AD503" s="179"/>
      <c r="AE503" s="179"/>
      <c r="AF503" s="179"/>
      <c r="AG503" s="179"/>
    </row>
    <row r="504" spans="8:33" x14ac:dyDescent="0.2">
      <c r="H504" s="64"/>
      <c r="I504" s="64"/>
      <c r="J504" s="171"/>
      <c r="K504" s="171"/>
      <c r="L504" s="171"/>
      <c r="M504" s="110"/>
      <c r="N504" s="110"/>
      <c r="W504" s="179"/>
      <c r="X504" s="179"/>
      <c r="Y504" s="179"/>
      <c r="Z504" s="179"/>
      <c r="AA504" s="179"/>
      <c r="AB504" s="179"/>
      <c r="AC504" s="179"/>
      <c r="AD504" s="179"/>
      <c r="AE504" s="179"/>
      <c r="AF504" s="179"/>
      <c r="AG504" s="179"/>
    </row>
    <row r="505" spans="8:33" x14ac:dyDescent="0.2">
      <c r="H505" s="64"/>
      <c r="I505" s="64"/>
      <c r="J505" s="171"/>
      <c r="K505" s="171"/>
      <c r="L505" s="171"/>
      <c r="M505" s="110"/>
      <c r="N505" s="110"/>
      <c r="W505" s="179"/>
      <c r="X505" s="179"/>
      <c r="Y505" s="179"/>
      <c r="Z505" s="179"/>
      <c r="AA505" s="179"/>
      <c r="AB505" s="179"/>
      <c r="AC505" s="179"/>
      <c r="AD505" s="179"/>
      <c r="AE505" s="179"/>
      <c r="AF505" s="179"/>
      <c r="AG505" s="179"/>
    </row>
    <row r="506" spans="8:33" x14ac:dyDescent="0.2">
      <c r="H506" s="64"/>
      <c r="I506" s="64"/>
      <c r="J506" s="171"/>
      <c r="K506" s="171"/>
      <c r="L506" s="171"/>
      <c r="M506" s="110"/>
      <c r="N506" s="110"/>
      <c r="W506" s="179"/>
      <c r="X506" s="179"/>
      <c r="Y506" s="179"/>
      <c r="Z506" s="179"/>
      <c r="AA506" s="179"/>
      <c r="AB506" s="179"/>
      <c r="AC506" s="179"/>
      <c r="AD506" s="179"/>
      <c r="AE506" s="179"/>
      <c r="AF506" s="179"/>
      <c r="AG506" s="179"/>
    </row>
    <row r="507" spans="8:33" x14ac:dyDescent="0.2">
      <c r="H507" s="64"/>
      <c r="I507" s="64"/>
      <c r="J507" s="171"/>
      <c r="K507" s="171"/>
      <c r="L507" s="171"/>
      <c r="M507" s="110"/>
      <c r="N507" s="110"/>
      <c r="W507" s="179"/>
      <c r="X507" s="179"/>
      <c r="Y507" s="179"/>
      <c r="Z507" s="179"/>
      <c r="AA507" s="179"/>
      <c r="AB507" s="179"/>
      <c r="AC507" s="179"/>
      <c r="AD507" s="179"/>
      <c r="AE507" s="179"/>
      <c r="AF507" s="179"/>
      <c r="AG507" s="179"/>
    </row>
    <row r="508" spans="8:33" x14ac:dyDescent="0.2">
      <c r="H508" s="64"/>
      <c r="I508" s="64"/>
      <c r="J508" s="171"/>
      <c r="K508" s="171"/>
      <c r="L508" s="171"/>
      <c r="M508" s="110"/>
      <c r="N508" s="110"/>
      <c r="W508" s="179"/>
      <c r="X508" s="179"/>
      <c r="Y508" s="179"/>
      <c r="Z508" s="179"/>
      <c r="AA508" s="179"/>
      <c r="AB508" s="179"/>
      <c r="AC508" s="179"/>
      <c r="AD508" s="179"/>
      <c r="AE508" s="179"/>
      <c r="AF508" s="179"/>
      <c r="AG508" s="179"/>
    </row>
    <row r="509" spans="8:33" x14ac:dyDescent="0.2">
      <c r="H509" s="64"/>
      <c r="I509" s="64"/>
      <c r="J509" s="171"/>
      <c r="K509" s="171"/>
      <c r="L509" s="171"/>
      <c r="M509" s="110"/>
      <c r="N509" s="110"/>
      <c r="W509" s="179"/>
      <c r="X509" s="179"/>
      <c r="Y509" s="179"/>
      <c r="Z509" s="179"/>
      <c r="AA509" s="179"/>
      <c r="AB509" s="179"/>
      <c r="AC509" s="179"/>
      <c r="AD509" s="179"/>
      <c r="AE509" s="179"/>
      <c r="AF509" s="179"/>
      <c r="AG509" s="179"/>
    </row>
    <row r="510" spans="8:33" x14ac:dyDescent="0.2">
      <c r="H510" s="64"/>
      <c r="I510" s="64"/>
      <c r="J510" s="171"/>
      <c r="K510" s="171"/>
      <c r="L510" s="171"/>
      <c r="M510" s="110"/>
      <c r="N510" s="110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</row>
    <row r="511" spans="8:33" x14ac:dyDescent="0.2">
      <c r="H511" s="64"/>
      <c r="I511" s="64"/>
      <c r="J511" s="171"/>
      <c r="K511" s="171"/>
      <c r="L511" s="171"/>
      <c r="M511" s="110"/>
      <c r="N511" s="110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/>
      <c r="AG511" s="179"/>
    </row>
    <row r="512" spans="8:33" x14ac:dyDescent="0.2">
      <c r="H512" s="64"/>
      <c r="I512" s="64"/>
      <c r="J512" s="171"/>
      <c r="K512" s="171"/>
      <c r="L512" s="171"/>
      <c r="M512" s="110"/>
      <c r="N512" s="110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</row>
    <row r="513" spans="8:33" x14ac:dyDescent="0.2">
      <c r="H513" s="64"/>
      <c r="I513" s="64"/>
      <c r="J513" s="171"/>
      <c r="K513" s="171"/>
      <c r="L513" s="171"/>
      <c r="M513" s="110"/>
      <c r="N513" s="110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</row>
    <row r="514" spans="8:33" x14ac:dyDescent="0.2">
      <c r="H514" s="64"/>
      <c r="I514" s="64"/>
      <c r="J514" s="171"/>
      <c r="K514" s="171"/>
      <c r="L514" s="171"/>
      <c r="M514" s="110"/>
      <c r="N514" s="110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</row>
    <row r="515" spans="8:33" x14ac:dyDescent="0.2">
      <c r="H515" s="64"/>
      <c r="I515" s="64"/>
      <c r="J515" s="171"/>
      <c r="K515" s="171"/>
      <c r="L515" s="171"/>
      <c r="M515" s="110"/>
      <c r="N515" s="110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</row>
    <row r="516" spans="8:33" x14ac:dyDescent="0.2">
      <c r="H516" s="64"/>
      <c r="I516" s="64"/>
      <c r="J516" s="171"/>
      <c r="K516" s="171"/>
      <c r="L516" s="171"/>
      <c r="M516" s="110"/>
      <c r="N516" s="110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/>
      <c r="AG516" s="179"/>
    </row>
    <row r="517" spans="8:33" x14ac:dyDescent="0.2">
      <c r="H517" s="64"/>
      <c r="I517" s="64"/>
      <c r="J517" s="171"/>
      <c r="K517" s="171"/>
      <c r="L517" s="171"/>
      <c r="M517" s="110"/>
      <c r="N517" s="110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</row>
    <row r="518" spans="8:33" x14ac:dyDescent="0.2">
      <c r="H518" s="64"/>
      <c r="I518" s="64"/>
      <c r="J518" s="171"/>
      <c r="K518" s="171"/>
      <c r="L518" s="171"/>
      <c r="M518" s="110"/>
      <c r="N518" s="110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</row>
    <row r="519" spans="8:33" x14ac:dyDescent="0.2">
      <c r="H519" s="64"/>
      <c r="I519" s="64"/>
      <c r="J519" s="171"/>
      <c r="K519" s="171"/>
      <c r="L519" s="171"/>
      <c r="M519" s="110"/>
      <c r="N519" s="110"/>
      <c r="W519" s="179"/>
      <c r="X519" s="179"/>
      <c r="Y519" s="179"/>
      <c r="Z519" s="179"/>
      <c r="AA519" s="179"/>
      <c r="AB519" s="179"/>
      <c r="AC519" s="179"/>
      <c r="AD519" s="179"/>
      <c r="AE519" s="179"/>
      <c r="AF519" s="179"/>
      <c r="AG519" s="179"/>
    </row>
    <row r="520" spans="8:33" x14ac:dyDescent="0.2">
      <c r="H520" s="64"/>
      <c r="I520" s="64"/>
      <c r="J520" s="171"/>
      <c r="K520" s="171"/>
      <c r="L520" s="171"/>
      <c r="M520" s="110"/>
      <c r="N520" s="110"/>
      <c r="W520" s="179"/>
      <c r="X520" s="179"/>
      <c r="Y520" s="179"/>
      <c r="Z520" s="179"/>
      <c r="AA520" s="179"/>
      <c r="AB520" s="179"/>
      <c r="AC520" s="179"/>
      <c r="AD520" s="179"/>
      <c r="AE520" s="179"/>
      <c r="AF520" s="179"/>
      <c r="AG520" s="179"/>
    </row>
    <row r="521" spans="8:33" x14ac:dyDescent="0.2">
      <c r="H521" s="64"/>
      <c r="I521" s="64"/>
      <c r="J521" s="171"/>
      <c r="K521" s="171"/>
      <c r="L521" s="171"/>
      <c r="M521" s="110"/>
      <c r="N521" s="110"/>
      <c r="W521" s="179"/>
      <c r="X521" s="179"/>
      <c r="Y521" s="179"/>
      <c r="Z521" s="179"/>
      <c r="AA521" s="179"/>
      <c r="AB521" s="179"/>
      <c r="AC521" s="179"/>
      <c r="AD521" s="179"/>
      <c r="AE521" s="179"/>
      <c r="AF521" s="179"/>
      <c r="AG521" s="179"/>
    </row>
    <row r="522" spans="8:33" x14ac:dyDescent="0.2">
      <c r="H522" s="64"/>
      <c r="I522" s="64"/>
      <c r="J522" s="171"/>
      <c r="K522" s="171"/>
      <c r="L522" s="171"/>
      <c r="M522" s="110"/>
      <c r="N522" s="110"/>
      <c r="W522" s="179"/>
      <c r="X522" s="179"/>
      <c r="Y522" s="179"/>
      <c r="Z522" s="179"/>
      <c r="AA522" s="179"/>
      <c r="AB522" s="179"/>
      <c r="AC522" s="179"/>
      <c r="AD522" s="179"/>
      <c r="AE522" s="179"/>
      <c r="AF522" s="179"/>
      <c r="AG522" s="179"/>
    </row>
    <row r="523" spans="8:33" x14ac:dyDescent="0.2">
      <c r="H523" s="64"/>
      <c r="I523" s="64"/>
      <c r="J523" s="171"/>
      <c r="K523" s="171"/>
      <c r="L523" s="171"/>
      <c r="M523" s="110"/>
      <c r="N523" s="110"/>
      <c r="W523" s="179"/>
      <c r="X523" s="179"/>
      <c r="Y523" s="179"/>
      <c r="Z523" s="179"/>
      <c r="AA523" s="179"/>
      <c r="AB523" s="179"/>
      <c r="AC523" s="179"/>
      <c r="AD523" s="179"/>
      <c r="AE523" s="179"/>
      <c r="AF523" s="179"/>
      <c r="AG523" s="179"/>
    </row>
    <row r="524" spans="8:33" x14ac:dyDescent="0.2">
      <c r="H524" s="64"/>
      <c r="I524" s="64"/>
      <c r="J524" s="171"/>
      <c r="K524" s="171"/>
      <c r="L524" s="171"/>
      <c r="M524" s="110"/>
      <c r="N524" s="110"/>
      <c r="W524" s="179"/>
      <c r="X524" s="179"/>
      <c r="Y524" s="179"/>
      <c r="Z524" s="179"/>
      <c r="AA524" s="179"/>
      <c r="AB524" s="179"/>
      <c r="AC524" s="179"/>
      <c r="AD524" s="179"/>
      <c r="AE524" s="179"/>
      <c r="AF524" s="179"/>
      <c r="AG524" s="179"/>
    </row>
    <row r="525" spans="8:33" x14ac:dyDescent="0.2">
      <c r="H525" s="64"/>
      <c r="I525" s="64"/>
      <c r="J525" s="171"/>
      <c r="K525" s="171"/>
      <c r="L525" s="171"/>
      <c r="M525" s="110"/>
      <c r="N525" s="110"/>
      <c r="W525" s="179"/>
      <c r="X525" s="179"/>
      <c r="Y525" s="179"/>
      <c r="Z525" s="179"/>
      <c r="AA525" s="179"/>
      <c r="AB525" s="179"/>
      <c r="AC525" s="179"/>
      <c r="AD525" s="179"/>
      <c r="AE525" s="179"/>
      <c r="AF525" s="179"/>
      <c r="AG525" s="179"/>
    </row>
    <row r="526" spans="8:33" x14ac:dyDescent="0.2">
      <c r="H526" s="64"/>
      <c r="I526" s="64"/>
      <c r="J526" s="171"/>
      <c r="K526" s="171"/>
      <c r="L526" s="171"/>
      <c r="M526" s="110"/>
      <c r="N526" s="110"/>
      <c r="W526" s="179"/>
      <c r="X526" s="179"/>
      <c r="Y526" s="179"/>
      <c r="Z526" s="179"/>
      <c r="AA526" s="179"/>
      <c r="AB526" s="179"/>
      <c r="AC526" s="179"/>
      <c r="AD526" s="179"/>
      <c r="AE526" s="179"/>
      <c r="AF526" s="179"/>
      <c r="AG526" s="179"/>
    </row>
    <row r="527" spans="8:33" x14ac:dyDescent="0.2">
      <c r="H527" s="64"/>
      <c r="I527" s="64"/>
      <c r="J527" s="171"/>
      <c r="K527" s="171"/>
      <c r="L527" s="171"/>
      <c r="M527" s="110"/>
      <c r="N527" s="110"/>
      <c r="W527" s="179"/>
      <c r="X527" s="179"/>
      <c r="Y527" s="179"/>
      <c r="Z527" s="179"/>
      <c r="AA527" s="179"/>
      <c r="AB527" s="179"/>
      <c r="AC527" s="179"/>
      <c r="AD527" s="179"/>
      <c r="AE527" s="179"/>
      <c r="AF527" s="179"/>
      <c r="AG527" s="179"/>
    </row>
    <row r="528" spans="8:33" x14ac:dyDescent="0.2">
      <c r="H528" s="64"/>
      <c r="I528" s="64"/>
      <c r="J528" s="171"/>
      <c r="K528" s="171"/>
      <c r="L528" s="171"/>
      <c r="M528" s="110"/>
      <c r="N528" s="110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</row>
    <row r="529" spans="8:33" x14ac:dyDescent="0.2">
      <c r="H529" s="64"/>
      <c r="I529" s="64"/>
      <c r="J529" s="171"/>
      <c r="K529" s="171"/>
      <c r="L529" s="171"/>
      <c r="M529" s="110"/>
      <c r="N529" s="110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</row>
    <row r="530" spans="8:33" x14ac:dyDescent="0.2">
      <c r="H530" s="64"/>
      <c r="I530" s="64"/>
      <c r="J530" s="171"/>
      <c r="K530" s="171"/>
      <c r="L530" s="171"/>
      <c r="M530" s="110"/>
      <c r="N530" s="110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</row>
    <row r="531" spans="8:33" x14ac:dyDescent="0.2">
      <c r="H531" s="64"/>
      <c r="I531" s="64"/>
      <c r="J531" s="171"/>
      <c r="K531" s="171"/>
      <c r="L531" s="171"/>
      <c r="M531" s="110"/>
      <c r="N531" s="110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</row>
    <row r="532" spans="8:33" x14ac:dyDescent="0.2">
      <c r="H532" s="64"/>
      <c r="I532" s="64"/>
      <c r="J532" s="171"/>
      <c r="K532" s="171"/>
      <c r="L532" s="171"/>
      <c r="M532" s="110"/>
      <c r="N532" s="110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</row>
    <row r="533" spans="8:33" x14ac:dyDescent="0.2">
      <c r="H533" s="64"/>
      <c r="I533" s="64"/>
      <c r="J533" s="171"/>
      <c r="K533" s="171"/>
      <c r="L533" s="171"/>
      <c r="M533" s="110"/>
      <c r="N533" s="110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</row>
    <row r="534" spans="8:33" x14ac:dyDescent="0.2">
      <c r="H534" s="64"/>
      <c r="I534" s="64"/>
      <c r="J534" s="171"/>
      <c r="K534" s="171"/>
      <c r="L534" s="171"/>
      <c r="M534" s="110"/>
      <c r="N534" s="110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</row>
    <row r="535" spans="8:33" x14ac:dyDescent="0.2">
      <c r="H535" s="64"/>
      <c r="I535" s="64"/>
      <c r="J535" s="171"/>
      <c r="K535" s="171"/>
      <c r="L535" s="171"/>
      <c r="M535" s="110"/>
      <c r="N535" s="110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</row>
    <row r="536" spans="8:33" x14ac:dyDescent="0.2">
      <c r="H536" s="64"/>
      <c r="I536" s="64"/>
      <c r="J536" s="171"/>
      <c r="K536" s="171"/>
      <c r="L536" s="171"/>
      <c r="M536" s="110"/>
      <c r="N536" s="110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</row>
    <row r="537" spans="8:33" x14ac:dyDescent="0.2">
      <c r="H537" s="64"/>
      <c r="I537" s="64"/>
      <c r="J537" s="171"/>
      <c r="K537" s="171"/>
      <c r="L537" s="171"/>
      <c r="M537" s="110"/>
      <c r="N537" s="110"/>
      <c r="W537" s="179"/>
      <c r="X537" s="179"/>
      <c r="Y537" s="179"/>
      <c r="Z537" s="179"/>
      <c r="AA537" s="179"/>
      <c r="AB537" s="179"/>
      <c r="AC537" s="179"/>
      <c r="AD537" s="179"/>
      <c r="AE537" s="179"/>
      <c r="AF537" s="179"/>
      <c r="AG537" s="179"/>
    </row>
    <row r="538" spans="8:33" x14ac:dyDescent="0.2">
      <c r="H538" s="64"/>
      <c r="I538" s="64"/>
      <c r="J538" s="171"/>
      <c r="K538" s="171"/>
      <c r="L538" s="171"/>
      <c r="M538" s="110"/>
      <c r="N538" s="110"/>
      <c r="W538" s="179"/>
      <c r="X538" s="179"/>
      <c r="Y538" s="179"/>
      <c r="Z538" s="179"/>
      <c r="AA538" s="179"/>
      <c r="AB538" s="179"/>
      <c r="AC538" s="179"/>
      <c r="AD538" s="179"/>
      <c r="AE538" s="179"/>
      <c r="AF538" s="179"/>
      <c r="AG538" s="179"/>
    </row>
    <row r="539" spans="8:33" x14ac:dyDescent="0.2">
      <c r="H539" s="64"/>
      <c r="I539" s="64"/>
      <c r="J539" s="171"/>
      <c r="K539" s="171"/>
      <c r="L539" s="171"/>
      <c r="M539" s="110"/>
      <c r="N539" s="110"/>
      <c r="W539" s="179"/>
      <c r="X539" s="179"/>
      <c r="Y539" s="179"/>
      <c r="Z539" s="179"/>
      <c r="AA539" s="179"/>
      <c r="AB539" s="179"/>
      <c r="AC539" s="179"/>
      <c r="AD539" s="179"/>
      <c r="AE539" s="179"/>
      <c r="AF539" s="179"/>
      <c r="AG539" s="179"/>
    </row>
    <row r="540" spans="8:33" x14ac:dyDescent="0.2">
      <c r="H540" s="64"/>
      <c r="I540" s="64"/>
      <c r="J540" s="171"/>
      <c r="K540" s="171"/>
      <c r="L540" s="171"/>
      <c r="M540" s="110"/>
      <c r="N540" s="110"/>
      <c r="W540" s="179"/>
      <c r="X540" s="179"/>
      <c r="Y540" s="179"/>
      <c r="Z540" s="179"/>
      <c r="AA540" s="179"/>
      <c r="AB540" s="179"/>
      <c r="AC540" s="179"/>
      <c r="AD540" s="179"/>
      <c r="AE540" s="179"/>
      <c r="AF540" s="179"/>
      <c r="AG540" s="179"/>
    </row>
    <row r="541" spans="8:33" x14ac:dyDescent="0.2">
      <c r="H541" s="64"/>
      <c r="I541" s="64"/>
      <c r="J541" s="171"/>
      <c r="K541" s="171"/>
      <c r="L541" s="171"/>
      <c r="M541" s="110"/>
      <c r="N541" s="110"/>
      <c r="W541" s="179"/>
      <c r="X541" s="179"/>
      <c r="Y541" s="179"/>
      <c r="Z541" s="179"/>
      <c r="AA541" s="179"/>
      <c r="AB541" s="179"/>
      <c r="AC541" s="179"/>
      <c r="AD541" s="179"/>
      <c r="AE541" s="179"/>
      <c r="AF541" s="179"/>
      <c r="AG541" s="179"/>
    </row>
    <row r="542" spans="8:33" x14ac:dyDescent="0.2">
      <c r="H542" s="64"/>
      <c r="I542" s="64"/>
      <c r="J542" s="171"/>
      <c r="K542" s="171"/>
      <c r="L542" s="171"/>
      <c r="M542" s="110"/>
      <c r="N542" s="110"/>
      <c r="W542" s="179"/>
      <c r="X542" s="179"/>
      <c r="Y542" s="179"/>
      <c r="Z542" s="179"/>
      <c r="AA542" s="179"/>
      <c r="AB542" s="179"/>
      <c r="AC542" s="179"/>
      <c r="AD542" s="179"/>
      <c r="AE542" s="179"/>
      <c r="AF542" s="179"/>
      <c r="AG542" s="179"/>
    </row>
    <row r="543" spans="8:33" x14ac:dyDescent="0.2">
      <c r="H543" s="64"/>
      <c r="I543" s="64"/>
      <c r="J543" s="171"/>
      <c r="K543" s="171"/>
      <c r="L543" s="171"/>
      <c r="M543" s="110"/>
      <c r="N543" s="110"/>
      <c r="W543" s="179"/>
      <c r="X543" s="179"/>
      <c r="Y543" s="179"/>
      <c r="Z543" s="179"/>
      <c r="AA543" s="179"/>
      <c r="AB543" s="179"/>
      <c r="AC543" s="179"/>
      <c r="AD543" s="179"/>
      <c r="AE543" s="179"/>
      <c r="AF543" s="179"/>
      <c r="AG543" s="179"/>
    </row>
    <row r="544" spans="8:33" x14ac:dyDescent="0.2">
      <c r="H544" s="64"/>
      <c r="I544" s="64"/>
      <c r="J544" s="171"/>
      <c r="K544" s="171"/>
      <c r="L544" s="171"/>
      <c r="M544" s="110"/>
      <c r="N544" s="110"/>
      <c r="W544" s="179"/>
      <c r="X544" s="179"/>
      <c r="Y544" s="179"/>
      <c r="Z544" s="179"/>
      <c r="AA544" s="179"/>
      <c r="AB544" s="179"/>
      <c r="AC544" s="179"/>
      <c r="AD544" s="179"/>
      <c r="AE544" s="179"/>
      <c r="AF544" s="179"/>
      <c r="AG544" s="179"/>
    </row>
    <row r="545" spans="8:33" x14ac:dyDescent="0.2">
      <c r="H545" s="64"/>
      <c r="I545" s="64"/>
      <c r="J545" s="171"/>
      <c r="K545" s="171"/>
      <c r="L545" s="171"/>
      <c r="M545" s="110"/>
      <c r="N545" s="110"/>
      <c r="W545" s="179"/>
      <c r="X545" s="179"/>
      <c r="Y545" s="179"/>
      <c r="Z545" s="179"/>
      <c r="AA545" s="179"/>
      <c r="AB545" s="179"/>
      <c r="AC545" s="179"/>
      <c r="AD545" s="179"/>
      <c r="AE545" s="179"/>
      <c r="AF545" s="179"/>
      <c r="AG545" s="179"/>
    </row>
    <row r="546" spans="8:33" x14ac:dyDescent="0.2">
      <c r="H546" s="64"/>
      <c r="I546" s="64"/>
      <c r="J546" s="171"/>
      <c r="K546" s="171"/>
      <c r="L546" s="171"/>
      <c r="M546" s="110"/>
      <c r="N546" s="110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</row>
    <row r="547" spans="8:33" x14ac:dyDescent="0.2">
      <c r="H547" s="64"/>
      <c r="I547" s="64"/>
      <c r="J547" s="171"/>
      <c r="K547" s="171"/>
      <c r="L547" s="171"/>
      <c r="M547" s="110"/>
      <c r="N547" s="110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</row>
    <row r="548" spans="8:33" x14ac:dyDescent="0.2">
      <c r="H548" s="64"/>
      <c r="I548" s="64"/>
      <c r="J548" s="171"/>
      <c r="K548" s="171"/>
      <c r="L548" s="171"/>
      <c r="M548" s="110"/>
      <c r="N548" s="110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</row>
    <row r="549" spans="8:33" x14ac:dyDescent="0.2">
      <c r="H549" s="64"/>
      <c r="I549" s="64"/>
      <c r="J549" s="171"/>
      <c r="K549" s="171"/>
      <c r="L549" s="171"/>
      <c r="M549" s="110"/>
      <c r="N549" s="110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</row>
    <row r="550" spans="8:33" x14ac:dyDescent="0.2">
      <c r="H550" s="64"/>
      <c r="I550" s="64"/>
      <c r="J550" s="171"/>
      <c r="K550" s="171"/>
      <c r="L550" s="171"/>
      <c r="M550" s="110"/>
      <c r="N550" s="110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</row>
    <row r="551" spans="8:33" x14ac:dyDescent="0.2">
      <c r="H551" s="64"/>
      <c r="I551" s="64"/>
      <c r="J551" s="171"/>
      <c r="K551" s="171"/>
      <c r="L551" s="171"/>
      <c r="M551" s="110"/>
      <c r="N551" s="110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</row>
    <row r="552" spans="8:33" x14ac:dyDescent="0.2">
      <c r="H552" s="64"/>
      <c r="I552" s="64"/>
      <c r="J552" s="171"/>
      <c r="K552" s="171"/>
      <c r="L552" s="171"/>
      <c r="M552" s="110"/>
      <c r="N552" s="110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</row>
    <row r="553" spans="8:33" x14ac:dyDescent="0.2">
      <c r="H553" s="64"/>
      <c r="I553" s="64"/>
      <c r="J553" s="171"/>
      <c r="K553" s="171"/>
      <c r="L553" s="171"/>
      <c r="M553" s="110"/>
      <c r="N553" s="110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</row>
    <row r="554" spans="8:33" x14ac:dyDescent="0.2">
      <c r="H554" s="64"/>
      <c r="I554" s="64"/>
      <c r="J554" s="171"/>
      <c r="K554" s="171"/>
      <c r="L554" s="171"/>
      <c r="M554" s="110"/>
      <c r="N554" s="110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</row>
    <row r="555" spans="8:33" x14ac:dyDescent="0.2">
      <c r="H555" s="64"/>
      <c r="I555" s="64"/>
      <c r="J555" s="171"/>
      <c r="K555" s="171"/>
      <c r="L555" s="171"/>
      <c r="M555" s="110"/>
      <c r="N555" s="110"/>
      <c r="W555" s="179"/>
      <c r="X555" s="179"/>
      <c r="Y555" s="179"/>
      <c r="Z555" s="179"/>
      <c r="AA555" s="179"/>
      <c r="AB555" s="179"/>
      <c r="AC555" s="179"/>
      <c r="AD555" s="179"/>
      <c r="AE555" s="179"/>
      <c r="AF555" s="179"/>
      <c r="AG555" s="179"/>
    </row>
    <row r="556" spans="8:33" x14ac:dyDescent="0.2">
      <c r="H556" s="64"/>
      <c r="I556" s="64"/>
      <c r="J556" s="171"/>
      <c r="K556" s="171"/>
      <c r="L556" s="171"/>
      <c r="M556" s="110"/>
      <c r="N556" s="110"/>
      <c r="W556" s="179"/>
      <c r="X556" s="179"/>
      <c r="Y556" s="179"/>
      <c r="Z556" s="179"/>
      <c r="AA556" s="179"/>
      <c r="AB556" s="179"/>
      <c r="AC556" s="179"/>
      <c r="AD556" s="179"/>
      <c r="AE556" s="179"/>
      <c r="AF556" s="179"/>
      <c r="AG556" s="179"/>
    </row>
    <row r="557" spans="8:33" x14ac:dyDescent="0.2">
      <c r="H557" s="64"/>
      <c r="I557" s="64"/>
      <c r="J557" s="171"/>
      <c r="K557" s="171"/>
      <c r="L557" s="171"/>
      <c r="M557" s="110"/>
      <c r="N557" s="110"/>
      <c r="W557" s="179"/>
      <c r="X557" s="179"/>
      <c r="Y557" s="179"/>
      <c r="Z557" s="179"/>
      <c r="AA557" s="179"/>
      <c r="AB557" s="179"/>
      <c r="AC557" s="179"/>
      <c r="AD557" s="179"/>
      <c r="AE557" s="179"/>
      <c r="AF557" s="179"/>
      <c r="AG557" s="179"/>
    </row>
    <row r="558" spans="8:33" x14ac:dyDescent="0.2">
      <c r="H558" s="64"/>
      <c r="I558" s="64"/>
      <c r="J558" s="171"/>
      <c r="K558" s="171"/>
      <c r="L558" s="171"/>
      <c r="M558" s="110"/>
      <c r="N558" s="110"/>
      <c r="W558" s="179"/>
      <c r="X558" s="179"/>
      <c r="Y558" s="179"/>
      <c r="Z558" s="179"/>
      <c r="AA558" s="179"/>
      <c r="AB558" s="179"/>
      <c r="AC558" s="179"/>
      <c r="AD558" s="179"/>
      <c r="AE558" s="179"/>
      <c r="AF558" s="179"/>
      <c r="AG558" s="179"/>
    </row>
    <row r="559" spans="8:33" x14ac:dyDescent="0.2">
      <c r="H559" s="64"/>
      <c r="I559" s="64"/>
      <c r="J559" s="171"/>
      <c r="K559" s="171"/>
      <c r="L559" s="171"/>
      <c r="M559" s="110"/>
      <c r="N559" s="110"/>
      <c r="W559" s="179"/>
      <c r="X559" s="179"/>
      <c r="Y559" s="179"/>
      <c r="Z559" s="179"/>
      <c r="AA559" s="179"/>
      <c r="AB559" s="179"/>
      <c r="AC559" s="179"/>
      <c r="AD559" s="179"/>
      <c r="AE559" s="179"/>
      <c r="AF559" s="179"/>
      <c r="AG559" s="179"/>
    </row>
    <row r="560" spans="8:33" x14ac:dyDescent="0.2">
      <c r="H560" s="64"/>
      <c r="I560" s="64"/>
      <c r="J560" s="171"/>
      <c r="K560" s="171"/>
      <c r="L560" s="171"/>
      <c r="M560" s="110"/>
      <c r="N560" s="110"/>
      <c r="W560" s="179"/>
      <c r="X560" s="179"/>
      <c r="Y560" s="179"/>
      <c r="Z560" s="179"/>
      <c r="AA560" s="179"/>
      <c r="AB560" s="179"/>
      <c r="AC560" s="179"/>
      <c r="AD560" s="179"/>
      <c r="AE560" s="179"/>
      <c r="AF560" s="179"/>
      <c r="AG560" s="179"/>
    </row>
    <row r="561" spans="8:14" x14ac:dyDescent="0.2">
      <c r="H561" s="64"/>
      <c r="I561" s="64"/>
      <c r="J561" s="171"/>
      <c r="K561" s="171"/>
      <c r="L561" s="171"/>
      <c r="M561" s="110"/>
      <c r="N561" s="110"/>
    </row>
    <row r="562" spans="8:14" x14ac:dyDescent="0.2">
      <c r="H562" s="64"/>
      <c r="I562" s="64"/>
      <c r="J562" s="171"/>
      <c r="K562" s="171"/>
      <c r="L562" s="171"/>
      <c r="M562" s="110"/>
      <c r="N562" s="110"/>
    </row>
    <row r="563" spans="8:14" x14ac:dyDescent="0.2">
      <c r="H563" s="64"/>
      <c r="I563" s="64"/>
      <c r="J563" s="171"/>
      <c r="K563" s="171"/>
      <c r="L563" s="171"/>
      <c r="M563" s="110"/>
      <c r="N563" s="110"/>
    </row>
    <row r="564" spans="8:14" x14ac:dyDescent="0.2">
      <c r="H564" s="64"/>
      <c r="I564" s="64"/>
      <c r="J564" s="171"/>
      <c r="K564" s="171"/>
      <c r="L564" s="171"/>
      <c r="M564" s="110"/>
      <c r="N564" s="110"/>
    </row>
    <row r="565" spans="8:14" x14ac:dyDescent="0.2">
      <c r="H565" s="64"/>
      <c r="I565" s="64"/>
      <c r="J565" s="171"/>
      <c r="K565" s="171"/>
      <c r="L565" s="171"/>
      <c r="M565" s="110"/>
      <c r="N565" s="110"/>
    </row>
    <row r="566" spans="8:14" x14ac:dyDescent="0.2">
      <c r="H566" s="64"/>
      <c r="I566" s="64"/>
      <c r="J566" s="171"/>
      <c r="K566" s="171"/>
      <c r="L566" s="171"/>
      <c r="M566" s="110"/>
      <c r="N566" s="110"/>
    </row>
    <row r="567" spans="8:14" x14ac:dyDescent="0.2">
      <c r="H567" s="64"/>
      <c r="I567" s="64"/>
      <c r="J567" s="171"/>
      <c r="K567" s="171"/>
      <c r="L567" s="171"/>
      <c r="M567" s="110"/>
      <c r="N567" s="110"/>
    </row>
  </sheetData>
  <sheetProtection autoFilter="0"/>
  <protectedRanges>
    <protectedRange sqref="J363:L364 J360 J358 J356 H355 J353:K353 J337:L348 S309:S317 C21 C8:C15 O309:Q317 R309 C337:G345" name="Bereich1"/>
  </protectedRanges>
  <autoFilter ref="C21:I245" xr:uid="{00000000-0009-0000-0000-000000000000}">
    <filterColumn colId="0" showButton="0">
      <filters>
        <filter val="Österreich"/>
      </filters>
    </filterColumn>
    <filterColumn colId="1" showButton="0"/>
    <filterColumn colId="2" showButton="0"/>
    <filterColumn colId="3" showButton="0"/>
    <sortState ref="C22:I258">
      <sortCondition ref="C21:C258"/>
    </sortState>
  </autoFilter>
  <mergeCells count="47">
    <mergeCell ref="C297:E297"/>
    <mergeCell ref="O311:Q311"/>
    <mergeCell ref="O312:Q312"/>
    <mergeCell ref="O313:Q313"/>
    <mergeCell ref="O314:Q314"/>
    <mergeCell ref="O309:Q309"/>
    <mergeCell ref="O307:U307"/>
    <mergeCell ref="O308:Q308"/>
    <mergeCell ref="O310:Q310"/>
    <mergeCell ref="F18:G18"/>
    <mergeCell ref="C21:G21"/>
    <mergeCell ref="C2:N3"/>
    <mergeCell ref="C7:G7"/>
    <mergeCell ref="H7:N7"/>
    <mergeCell ref="C4:N4"/>
    <mergeCell ref="C16:G16"/>
    <mergeCell ref="F17:G17"/>
    <mergeCell ref="L367:N369"/>
    <mergeCell ref="C247:G247"/>
    <mergeCell ref="J356:L356"/>
    <mergeCell ref="J363:L363"/>
    <mergeCell ref="J360:L360"/>
    <mergeCell ref="C350:N350"/>
    <mergeCell ref="C348:I348"/>
    <mergeCell ref="C366:L366"/>
    <mergeCell ref="H357:M357"/>
    <mergeCell ref="H359:M359"/>
    <mergeCell ref="J358:L358"/>
    <mergeCell ref="J348:L348"/>
    <mergeCell ref="F277:G280"/>
    <mergeCell ref="C277:E280"/>
    <mergeCell ref="C339:E339"/>
    <mergeCell ref="J335:L335"/>
    <mergeCell ref="C338:E338"/>
    <mergeCell ref="O317:Q317"/>
    <mergeCell ref="C345:E345"/>
    <mergeCell ref="J355:L355"/>
    <mergeCell ref="C340:E340"/>
    <mergeCell ref="C341:E341"/>
    <mergeCell ref="C342:E342"/>
    <mergeCell ref="C343:E343"/>
    <mergeCell ref="C344:E344"/>
    <mergeCell ref="O316:Q316"/>
    <mergeCell ref="C335:I335"/>
    <mergeCell ref="C336:E336"/>
    <mergeCell ref="O315:Q315"/>
    <mergeCell ref="C337:E337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12" r:id="rId4" name="Option Button 92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</xdr:row>
                    <xdr:rowOff>85725</xdr:rowOff>
                  </from>
                  <to>
                    <xdr:col>3</xdr:col>
                    <xdr:colOff>38100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" name="Option Button 99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152400</xdr:rowOff>
                  </from>
                  <to>
                    <xdr:col>3</xdr:col>
                    <xdr:colOff>38100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6" name="Option Button 100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9</xdr:row>
                    <xdr:rowOff>152400</xdr:rowOff>
                  </from>
                  <to>
                    <xdr:col>3</xdr:col>
                    <xdr:colOff>38100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7" name="Option Button 101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11</xdr:row>
                    <xdr:rowOff>142875</xdr:rowOff>
                  </from>
                  <to>
                    <xdr:col>3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" name="Option Button 102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12</xdr:row>
                    <xdr:rowOff>152400</xdr:rowOff>
                  </from>
                  <to>
                    <xdr:col>3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" name="Check Box 113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336</xdr:row>
                    <xdr:rowOff>142875</xdr:rowOff>
                  </from>
                  <to>
                    <xdr:col>10</xdr:col>
                    <xdr:colOff>66675</xdr:colOff>
                    <xdr:row>338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" name="Check Box 114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336</xdr:row>
                    <xdr:rowOff>142875</xdr:rowOff>
                  </from>
                  <to>
                    <xdr:col>11</xdr:col>
                    <xdr:colOff>66675</xdr:colOff>
                    <xdr:row>338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" name="Check Box 115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336</xdr:row>
                    <xdr:rowOff>142875</xdr:rowOff>
                  </from>
                  <to>
                    <xdr:col>12</xdr:col>
                    <xdr:colOff>66675</xdr:colOff>
                    <xdr:row>338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2" name="Check Box 116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337</xdr:row>
                    <xdr:rowOff>142875</xdr:rowOff>
                  </from>
                  <to>
                    <xdr:col>10</xdr:col>
                    <xdr:colOff>66675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3" name="Check Box 117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337</xdr:row>
                    <xdr:rowOff>142875</xdr:rowOff>
                  </from>
                  <to>
                    <xdr:col>11</xdr:col>
                    <xdr:colOff>66675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4" name="Check Box 118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337</xdr:row>
                    <xdr:rowOff>142875</xdr:rowOff>
                  </from>
                  <to>
                    <xdr:col>12</xdr:col>
                    <xdr:colOff>66675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5" name="Check Box 119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338</xdr:row>
                    <xdr:rowOff>142875</xdr:rowOff>
                  </from>
                  <to>
                    <xdr:col>10</xdr:col>
                    <xdr:colOff>66675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6" name="Check Box 120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338</xdr:row>
                    <xdr:rowOff>142875</xdr:rowOff>
                  </from>
                  <to>
                    <xdr:col>11</xdr:col>
                    <xdr:colOff>66675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7" name="Check Box 121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338</xdr:row>
                    <xdr:rowOff>142875</xdr:rowOff>
                  </from>
                  <to>
                    <xdr:col>12</xdr:col>
                    <xdr:colOff>66675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8" name="Check Box 12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339</xdr:row>
                    <xdr:rowOff>142875</xdr:rowOff>
                  </from>
                  <to>
                    <xdr:col>10</xdr:col>
                    <xdr:colOff>66675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9" name="Check Box 123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339</xdr:row>
                    <xdr:rowOff>142875</xdr:rowOff>
                  </from>
                  <to>
                    <xdr:col>11</xdr:col>
                    <xdr:colOff>66675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20" name="Check Box 124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339</xdr:row>
                    <xdr:rowOff>142875</xdr:rowOff>
                  </from>
                  <to>
                    <xdr:col>12</xdr:col>
                    <xdr:colOff>66675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21" name="Check Box 125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340</xdr:row>
                    <xdr:rowOff>142875</xdr:rowOff>
                  </from>
                  <to>
                    <xdr:col>10</xdr:col>
                    <xdr:colOff>66675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22" name="Check Box 126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340</xdr:row>
                    <xdr:rowOff>142875</xdr:rowOff>
                  </from>
                  <to>
                    <xdr:col>11</xdr:col>
                    <xdr:colOff>66675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23" name="Check Box 127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340</xdr:row>
                    <xdr:rowOff>142875</xdr:rowOff>
                  </from>
                  <to>
                    <xdr:col>12</xdr:col>
                    <xdr:colOff>66675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4" name="Check Box 128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341</xdr:row>
                    <xdr:rowOff>142875</xdr:rowOff>
                  </from>
                  <to>
                    <xdr:col>10</xdr:col>
                    <xdr:colOff>66675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25" name="Check Box 129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341</xdr:row>
                    <xdr:rowOff>142875</xdr:rowOff>
                  </from>
                  <to>
                    <xdr:col>11</xdr:col>
                    <xdr:colOff>66675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26" name="Check Box 130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341</xdr:row>
                    <xdr:rowOff>142875</xdr:rowOff>
                  </from>
                  <to>
                    <xdr:col>12</xdr:col>
                    <xdr:colOff>66675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27" name="Check Box 131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342</xdr:row>
                    <xdr:rowOff>142875</xdr:rowOff>
                  </from>
                  <to>
                    <xdr:col>10</xdr:col>
                    <xdr:colOff>66675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28" name="Check Box 13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342</xdr:row>
                    <xdr:rowOff>142875</xdr:rowOff>
                  </from>
                  <to>
                    <xdr:col>11</xdr:col>
                    <xdr:colOff>66675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29" name="Check Box 133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342</xdr:row>
                    <xdr:rowOff>142875</xdr:rowOff>
                  </from>
                  <to>
                    <xdr:col>12</xdr:col>
                    <xdr:colOff>66675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30" name="Check Box 134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343</xdr:row>
                    <xdr:rowOff>142875</xdr:rowOff>
                  </from>
                  <to>
                    <xdr:col>10</xdr:col>
                    <xdr:colOff>66675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31" name="Check Box 135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343</xdr:row>
                    <xdr:rowOff>142875</xdr:rowOff>
                  </from>
                  <to>
                    <xdr:col>11</xdr:col>
                    <xdr:colOff>66675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32" name="Check Box 136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343</xdr:row>
                    <xdr:rowOff>142875</xdr:rowOff>
                  </from>
                  <to>
                    <xdr:col>12</xdr:col>
                    <xdr:colOff>66675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33" name="Check Box 137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335</xdr:row>
                    <xdr:rowOff>142875</xdr:rowOff>
                  </from>
                  <to>
                    <xdr:col>10</xdr:col>
                    <xdr:colOff>66675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34" name="Check Box 138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335</xdr:row>
                    <xdr:rowOff>142875</xdr:rowOff>
                  </from>
                  <to>
                    <xdr:col>11</xdr:col>
                    <xdr:colOff>66675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35" name="Check Box 139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335</xdr:row>
                    <xdr:rowOff>142875</xdr:rowOff>
                  </from>
                  <to>
                    <xdr:col>12</xdr:col>
                    <xdr:colOff>66675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36" name="Check Box 157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362</xdr:row>
                    <xdr:rowOff>142875</xdr:rowOff>
                  </from>
                  <to>
                    <xdr:col>10</xdr:col>
                    <xdr:colOff>66675</xdr:colOff>
                    <xdr:row>364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37" name="Check Box 160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351</xdr:row>
                    <xdr:rowOff>133350</xdr:rowOff>
                  </from>
                  <to>
                    <xdr:col>10</xdr:col>
                    <xdr:colOff>66675</xdr:colOff>
                    <xdr:row>353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6" r:id="rId38" name="Option Button 1704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10</xdr:row>
                    <xdr:rowOff>152400</xdr:rowOff>
                  </from>
                  <to>
                    <xdr:col>3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X95"/>
  <sheetViews>
    <sheetView topLeftCell="A4" workbookViewId="0">
      <selection activeCell="C12" sqref="C12:M12"/>
    </sheetView>
  </sheetViews>
  <sheetFormatPr baseColWidth="10" defaultColWidth="11.42578125" defaultRowHeight="15.75" x14ac:dyDescent="0.25"/>
  <cols>
    <col min="1" max="1" width="1.28515625" style="64" customWidth="1"/>
    <col min="2" max="2" width="5.140625" style="139" customWidth="1"/>
    <col min="3" max="9" width="11.42578125" style="64" customWidth="1"/>
    <col min="10" max="10" width="8.140625" style="64" customWidth="1"/>
    <col min="11" max="16384" width="11.42578125" style="64"/>
  </cols>
  <sheetData>
    <row r="1" spans="1:24" ht="29.25" customHeight="1" x14ac:dyDescent="0.2">
      <c r="A1" s="25"/>
      <c r="B1" s="484" t="s">
        <v>105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4" customHeight="1" x14ac:dyDescent="0.2">
      <c r="A2" s="25"/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5.25" customHeight="1" x14ac:dyDescent="0.2">
      <c r="A3" s="2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106" customFormat="1" ht="23.25" customHeight="1" x14ac:dyDescent="0.2">
      <c r="A4" s="103"/>
      <c r="B4" s="104" t="s">
        <v>119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17.25" customHeight="1" x14ac:dyDescent="0.2">
      <c r="A5" s="25"/>
      <c r="B5" s="494" t="s">
        <v>120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7.25" customHeight="1" x14ac:dyDescent="0.2">
      <c r="A6" s="25"/>
      <c r="B6" s="497" t="s">
        <v>124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7.25" customHeight="1" x14ac:dyDescent="0.2">
      <c r="A7" s="2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106" customFormat="1" ht="23.25" customHeight="1" x14ac:dyDescent="0.2">
      <c r="A8" s="103"/>
      <c r="B8" s="104" t="s">
        <v>121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s="110" customFormat="1" ht="17.25" customHeight="1" x14ac:dyDescent="0.2">
      <c r="A9" s="108"/>
      <c r="B9" s="492" t="s">
        <v>2</v>
      </c>
      <c r="C9" s="485" t="s">
        <v>101</v>
      </c>
      <c r="D9" s="485"/>
      <c r="E9" s="485"/>
      <c r="F9" s="485"/>
      <c r="G9" s="485"/>
      <c r="H9" s="485"/>
      <c r="I9" s="485"/>
      <c r="J9" s="485"/>
      <c r="K9" s="485"/>
      <c r="L9" s="485"/>
      <c r="M9" s="486"/>
      <c r="N9" s="109"/>
      <c r="O9" s="109"/>
      <c r="P9" s="109"/>
      <c r="Q9" s="109"/>
      <c r="R9" s="109"/>
      <c r="S9" s="109"/>
      <c r="T9" s="108"/>
      <c r="U9" s="108"/>
      <c r="V9" s="108"/>
      <c r="W9" s="108"/>
      <c r="X9" s="108"/>
    </row>
    <row r="10" spans="1:24" s="110" customFormat="1" ht="17.25" customHeight="1" x14ac:dyDescent="0.2">
      <c r="A10" s="108"/>
      <c r="B10" s="493"/>
      <c r="C10" s="487" t="s">
        <v>44</v>
      </c>
      <c r="D10" s="488"/>
      <c r="E10" s="488"/>
      <c r="F10" s="488"/>
      <c r="G10" s="488"/>
      <c r="H10" s="488"/>
      <c r="I10" s="488"/>
      <c r="J10" s="488"/>
      <c r="K10" s="488"/>
      <c r="L10" s="488"/>
      <c r="M10" s="489"/>
      <c r="N10" s="111"/>
      <c r="O10" s="111"/>
      <c r="P10" s="111"/>
      <c r="Q10" s="111"/>
      <c r="R10" s="111"/>
      <c r="S10" s="111"/>
      <c r="T10" s="108"/>
      <c r="U10" s="108"/>
      <c r="V10" s="108"/>
      <c r="W10" s="108"/>
      <c r="X10" s="108"/>
    </row>
    <row r="11" spans="1:24" s="110" customFormat="1" ht="10.5" customHeight="1" x14ac:dyDescent="0.2">
      <c r="B11" s="112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111"/>
      <c r="O11" s="111"/>
      <c r="P11" s="111"/>
      <c r="Q11" s="111"/>
      <c r="R11" s="111"/>
      <c r="S11" s="111"/>
      <c r="T11" s="108"/>
      <c r="U11" s="108"/>
      <c r="V11" s="108"/>
      <c r="W11" s="108"/>
    </row>
    <row r="12" spans="1:24" s="110" customFormat="1" ht="17.25" customHeight="1" x14ac:dyDescent="0.2">
      <c r="B12" s="116" t="s">
        <v>3</v>
      </c>
      <c r="C12" s="490" t="s">
        <v>272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1"/>
      <c r="N12" s="111"/>
      <c r="O12" s="111"/>
      <c r="P12" s="111"/>
      <c r="Q12" s="111"/>
      <c r="R12" s="111"/>
      <c r="S12" s="111"/>
      <c r="T12" s="108"/>
      <c r="U12" s="108"/>
      <c r="V12" s="108"/>
      <c r="W12" s="108"/>
    </row>
    <row r="13" spans="1:24" s="110" customFormat="1" ht="10.5" customHeight="1" x14ac:dyDescent="0.2"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111"/>
      <c r="O13" s="111"/>
      <c r="P13" s="111"/>
      <c r="Q13" s="111"/>
      <c r="R13" s="111"/>
      <c r="S13" s="111"/>
      <c r="T13" s="108"/>
      <c r="U13" s="108"/>
      <c r="V13" s="108"/>
      <c r="W13" s="108"/>
    </row>
    <row r="14" spans="1:24" s="110" customFormat="1" ht="17.25" customHeight="1" x14ac:dyDescent="0.2">
      <c r="A14" s="108"/>
      <c r="B14" s="116" t="s">
        <v>4</v>
      </c>
      <c r="C14" s="490" t="s">
        <v>122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1"/>
      <c r="N14" s="109"/>
      <c r="O14" s="109"/>
      <c r="P14" s="109"/>
      <c r="Q14" s="109"/>
      <c r="R14" s="109"/>
      <c r="S14" s="109"/>
      <c r="T14" s="108"/>
      <c r="U14" s="108"/>
      <c r="V14" s="108"/>
      <c r="W14" s="108"/>
      <c r="X14" s="108"/>
    </row>
    <row r="15" spans="1:24" s="110" customFormat="1" ht="10.5" customHeight="1" x14ac:dyDescent="0.2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111"/>
      <c r="O15" s="111"/>
      <c r="P15" s="111"/>
      <c r="Q15" s="111"/>
      <c r="R15" s="111"/>
      <c r="S15" s="111"/>
      <c r="T15" s="108"/>
      <c r="U15" s="108"/>
      <c r="V15" s="108"/>
      <c r="W15" s="108"/>
    </row>
    <row r="16" spans="1:24" s="110" customFormat="1" ht="17.25" customHeight="1" x14ac:dyDescent="0.2">
      <c r="A16" s="108"/>
      <c r="B16" s="492" t="s">
        <v>5</v>
      </c>
      <c r="C16" s="501" t="s">
        <v>251</v>
      </c>
      <c r="D16" s="502"/>
      <c r="E16" s="502"/>
      <c r="F16" s="502"/>
      <c r="G16" s="502"/>
      <c r="H16" s="502"/>
      <c r="I16" s="502"/>
      <c r="J16" s="502"/>
      <c r="K16" s="502"/>
      <c r="L16" s="502"/>
      <c r="M16" s="503"/>
      <c r="N16" s="117"/>
      <c r="O16" s="117"/>
      <c r="P16" s="117"/>
      <c r="Q16" s="117"/>
      <c r="R16" s="117"/>
      <c r="S16" s="117"/>
      <c r="T16" s="108"/>
      <c r="U16" s="108"/>
      <c r="V16" s="108"/>
      <c r="W16" s="108"/>
      <c r="X16" s="108"/>
    </row>
    <row r="17" spans="1:24" s="110" customFormat="1" ht="17.25" customHeight="1" x14ac:dyDescent="0.2">
      <c r="A17" s="108"/>
      <c r="B17" s="493"/>
      <c r="C17" s="482" t="s">
        <v>104</v>
      </c>
      <c r="D17" s="482"/>
      <c r="E17" s="482"/>
      <c r="F17" s="482"/>
      <c r="G17" s="482"/>
      <c r="H17" s="482"/>
      <c r="I17" s="482"/>
      <c r="J17" s="482"/>
      <c r="K17" s="482"/>
      <c r="L17" s="482"/>
      <c r="M17" s="483"/>
      <c r="N17" s="117"/>
      <c r="O17" s="117"/>
      <c r="P17" s="117"/>
      <c r="Q17" s="117"/>
      <c r="R17" s="117"/>
      <c r="S17" s="117"/>
      <c r="T17" s="108"/>
      <c r="U17" s="108"/>
      <c r="V17" s="108"/>
      <c r="W17" s="108"/>
      <c r="X17" s="108"/>
    </row>
    <row r="18" spans="1:24" s="110" customFormat="1" ht="10.5" customHeight="1" x14ac:dyDescent="0.2">
      <c r="B18" s="112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20"/>
      <c r="N18" s="117"/>
      <c r="O18" s="117"/>
      <c r="P18" s="117"/>
      <c r="Q18" s="117"/>
      <c r="R18" s="117"/>
      <c r="S18" s="117"/>
      <c r="T18" s="108"/>
      <c r="U18" s="108"/>
      <c r="V18" s="108"/>
      <c r="W18" s="108"/>
    </row>
    <row r="19" spans="1:24" s="110" customFormat="1" ht="17.25" customHeight="1" x14ac:dyDescent="0.2">
      <c r="A19" s="108"/>
      <c r="B19" s="492" t="s">
        <v>6</v>
      </c>
      <c r="C19" s="485" t="s">
        <v>11</v>
      </c>
      <c r="D19" s="485"/>
      <c r="E19" s="485"/>
      <c r="F19" s="485"/>
      <c r="G19" s="485"/>
      <c r="H19" s="485"/>
      <c r="I19" s="485"/>
      <c r="J19" s="485"/>
      <c r="K19" s="485"/>
      <c r="L19" s="485"/>
      <c r="M19" s="486"/>
      <c r="N19" s="109"/>
      <c r="O19" s="109"/>
      <c r="P19" s="109"/>
      <c r="Q19" s="109"/>
      <c r="R19" s="109"/>
      <c r="S19" s="109"/>
      <c r="T19" s="108"/>
      <c r="U19" s="108"/>
      <c r="V19" s="108"/>
      <c r="W19" s="108"/>
      <c r="X19" s="108"/>
    </row>
    <row r="20" spans="1:24" s="110" customFormat="1" ht="17.25" customHeight="1" x14ac:dyDescent="0.2">
      <c r="A20" s="108"/>
      <c r="B20" s="500"/>
      <c r="C20" s="480" t="s">
        <v>45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</row>
    <row r="21" spans="1:24" s="110" customFormat="1" ht="17.25" customHeight="1" x14ac:dyDescent="0.2">
      <c r="A21" s="108"/>
      <c r="B21" s="493"/>
      <c r="C21" s="487" t="s">
        <v>8</v>
      </c>
      <c r="D21" s="488"/>
      <c r="E21" s="488"/>
      <c r="F21" s="488"/>
      <c r="G21" s="488"/>
      <c r="H21" s="488"/>
      <c r="I21" s="488"/>
      <c r="J21" s="488"/>
      <c r="K21" s="488"/>
      <c r="L21" s="488"/>
      <c r="M21" s="489"/>
      <c r="N21" s="122"/>
      <c r="O21" s="122"/>
      <c r="P21" s="122"/>
      <c r="Q21" s="122"/>
      <c r="R21" s="122"/>
      <c r="S21" s="122"/>
      <c r="T21" s="108"/>
      <c r="U21" s="108"/>
      <c r="V21" s="108"/>
      <c r="W21" s="108"/>
      <c r="X21" s="108"/>
    </row>
    <row r="22" spans="1:24" s="110" customFormat="1" ht="10.5" customHeight="1" x14ac:dyDescent="0.2">
      <c r="B22" s="112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22"/>
      <c r="O22" s="122"/>
      <c r="P22" s="122"/>
      <c r="Q22" s="122"/>
      <c r="R22" s="122"/>
      <c r="S22" s="122"/>
      <c r="T22" s="108"/>
      <c r="U22" s="108"/>
      <c r="V22" s="108"/>
      <c r="W22" s="108"/>
    </row>
    <row r="23" spans="1:24" s="110" customFormat="1" ht="17.25" customHeight="1" x14ac:dyDescent="0.2">
      <c r="A23" s="108"/>
      <c r="B23" s="492" t="s">
        <v>7</v>
      </c>
      <c r="C23" s="516" t="s">
        <v>9</v>
      </c>
      <c r="D23" s="516"/>
      <c r="E23" s="516"/>
      <c r="F23" s="516"/>
      <c r="G23" s="516"/>
      <c r="H23" s="516"/>
      <c r="I23" s="516"/>
      <c r="J23" s="516"/>
      <c r="K23" s="516"/>
      <c r="L23" s="516"/>
      <c r="M23" s="517"/>
      <c r="N23" s="117"/>
      <c r="O23" s="117"/>
      <c r="P23" s="117"/>
      <c r="Q23" s="117"/>
      <c r="R23" s="117"/>
      <c r="S23" s="117"/>
      <c r="T23" s="108"/>
      <c r="U23" s="108"/>
      <c r="V23" s="108"/>
      <c r="W23" s="108"/>
      <c r="X23" s="108"/>
    </row>
    <row r="24" spans="1:24" s="110" customFormat="1" ht="17.25" customHeight="1" x14ac:dyDescent="0.2">
      <c r="A24" s="108"/>
      <c r="B24" s="493"/>
      <c r="C24" s="505" t="s">
        <v>252</v>
      </c>
      <c r="D24" s="505"/>
      <c r="E24" s="505"/>
      <c r="F24" s="505"/>
      <c r="G24" s="505"/>
      <c r="H24" s="505"/>
      <c r="I24" s="505"/>
      <c r="J24" s="505"/>
      <c r="K24" s="505"/>
      <c r="L24" s="505"/>
      <c r="M24" s="123"/>
      <c r="N24" s="124"/>
      <c r="O24" s="124"/>
      <c r="P24" s="124"/>
      <c r="Q24" s="124"/>
      <c r="R24" s="124"/>
      <c r="S24" s="124"/>
      <c r="T24" s="108"/>
      <c r="U24" s="108"/>
      <c r="V24" s="108"/>
      <c r="W24" s="108"/>
      <c r="X24" s="108"/>
    </row>
    <row r="25" spans="1:24" s="110" customFormat="1" ht="10.5" customHeight="1" x14ac:dyDescent="0.2">
      <c r="B25" s="112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6"/>
      <c r="N25" s="124"/>
      <c r="O25" s="124"/>
      <c r="P25" s="124"/>
      <c r="Q25" s="124"/>
      <c r="R25" s="124"/>
      <c r="S25" s="124"/>
      <c r="T25" s="108"/>
      <c r="U25" s="108"/>
      <c r="V25" s="108"/>
      <c r="W25" s="108"/>
    </row>
    <row r="26" spans="1:24" s="110" customFormat="1" ht="17.25" customHeight="1" x14ac:dyDescent="0.2">
      <c r="A26" s="108"/>
      <c r="B26" s="116" t="s">
        <v>46</v>
      </c>
      <c r="C26" s="512" t="s">
        <v>253</v>
      </c>
      <c r="D26" s="513"/>
      <c r="E26" s="513"/>
      <c r="F26" s="513"/>
      <c r="G26" s="513"/>
      <c r="H26" s="513"/>
      <c r="I26" s="513"/>
      <c r="J26" s="513"/>
      <c r="K26" s="513"/>
      <c r="L26" s="513"/>
      <c r="M26" s="514"/>
      <c r="N26" s="117"/>
      <c r="O26" s="117"/>
      <c r="P26" s="117"/>
      <c r="Q26" s="117"/>
      <c r="R26" s="117"/>
      <c r="S26" s="117"/>
      <c r="T26" s="108"/>
      <c r="U26" s="108"/>
      <c r="V26" s="108"/>
      <c r="W26" s="108"/>
      <c r="X26" s="108"/>
    </row>
    <row r="27" spans="1:24" s="110" customFormat="1" ht="10.5" customHeight="1" x14ac:dyDescent="0.2">
      <c r="B27" s="112"/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117"/>
      <c r="O27" s="117"/>
      <c r="P27" s="117"/>
      <c r="Q27" s="117"/>
      <c r="R27" s="117"/>
      <c r="S27" s="117"/>
      <c r="T27" s="108"/>
      <c r="U27" s="108"/>
      <c r="V27" s="108"/>
      <c r="W27" s="108"/>
    </row>
    <row r="28" spans="1:24" s="110" customFormat="1" ht="17.25" customHeight="1" x14ac:dyDescent="0.2">
      <c r="A28" s="108"/>
      <c r="B28" s="492" t="s">
        <v>47</v>
      </c>
      <c r="C28" s="485" t="s">
        <v>10</v>
      </c>
      <c r="D28" s="485"/>
      <c r="E28" s="485"/>
      <c r="F28" s="485"/>
      <c r="G28" s="485"/>
      <c r="H28" s="485"/>
      <c r="I28" s="485"/>
      <c r="J28" s="485"/>
      <c r="K28" s="485"/>
      <c r="L28" s="485"/>
      <c r="M28" s="486"/>
      <c r="N28" s="109"/>
      <c r="O28" s="109"/>
      <c r="P28" s="109"/>
      <c r="Q28" s="109"/>
      <c r="R28" s="109"/>
      <c r="S28" s="109"/>
      <c r="T28" s="108"/>
      <c r="U28" s="108"/>
      <c r="V28" s="108"/>
      <c r="W28" s="108"/>
      <c r="X28" s="108"/>
    </row>
    <row r="29" spans="1:24" s="110" customFormat="1" ht="17.25" customHeight="1" x14ac:dyDescent="0.2">
      <c r="A29" s="108"/>
      <c r="B29" s="493"/>
      <c r="C29" s="487" t="s">
        <v>12</v>
      </c>
      <c r="D29" s="487"/>
      <c r="E29" s="487"/>
      <c r="F29" s="487"/>
      <c r="G29" s="487"/>
      <c r="H29" s="487"/>
      <c r="I29" s="487"/>
      <c r="J29" s="487"/>
      <c r="K29" s="487"/>
      <c r="L29" s="487"/>
      <c r="M29" s="511"/>
      <c r="N29" s="122"/>
      <c r="O29" s="122"/>
      <c r="P29" s="122"/>
      <c r="Q29" s="122"/>
      <c r="R29" s="122"/>
      <c r="S29" s="122"/>
      <c r="T29" s="108"/>
      <c r="U29" s="108"/>
      <c r="V29" s="108"/>
      <c r="W29" s="108"/>
      <c r="X29" s="108"/>
    </row>
    <row r="30" spans="1:24" s="110" customFormat="1" ht="10.5" customHeight="1" x14ac:dyDescent="0.2">
      <c r="B30" s="127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8"/>
      <c r="N30" s="129"/>
      <c r="O30" s="129"/>
      <c r="P30" s="129"/>
      <c r="Q30" s="129"/>
      <c r="R30" s="129"/>
      <c r="S30" s="129"/>
      <c r="T30" s="130"/>
      <c r="U30" s="130"/>
      <c r="V30" s="108"/>
      <c r="W30" s="108"/>
    </row>
    <row r="31" spans="1:24" ht="17.25" customHeight="1" x14ac:dyDescent="0.25">
      <c r="A31" s="25"/>
      <c r="B31" s="492" t="s">
        <v>123</v>
      </c>
      <c r="C31" s="131" t="s">
        <v>1</v>
      </c>
      <c r="D31" s="131" t="s">
        <v>102</v>
      </c>
      <c r="E31" s="132"/>
      <c r="F31" s="132"/>
      <c r="G31" s="132"/>
      <c r="H31" s="132"/>
      <c r="I31" s="132"/>
      <c r="J31" s="132"/>
      <c r="K31" s="132"/>
      <c r="L31" s="132"/>
      <c r="M31" s="133"/>
      <c r="N31" s="134"/>
      <c r="O31" s="134"/>
      <c r="P31" s="135"/>
      <c r="Q31" s="135"/>
      <c r="R31" s="135"/>
      <c r="S31" s="135"/>
      <c r="T31" s="29"/>
      <c r="U31" s="29"/>
      <c r="V31" s="25"/>
      <c r="W31" s="25"/>
      <c r="X31" s="25"/>
    </row>
    <row r="32" spans="1:24" ht="17.25" customHeight="1" x14ac:dyDescent="0.2">
      <c r="A32" s="25"/>
      <c r="B32" s="493"/>
      <c r="C32" s="505" t="s">
        <v>103</v>
      </c>
      <c r="D32" s="505"/>
      <c r="E32" s="505"/>
      <c r="F32" s="505"/>
      <c r="G32" s="505"/>
      <c r="H32" s="505"/>
      <c r="I32" s="505"/>
      <c r="J32" s="505"/>
      <c r="K32" s="505"/>
      <c r="L32" s="505"/>
      <c r="M32" s="510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0.5" customHeight="1" x14ac:dyDescent="0.25">
      <c r="A33" s="25"/>
      <c r="B33" s="136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25.5" customHeight="1" x14ac:dyDescent="0.2">
      <c r="A34" s="25"/>
      <c r="B34" s="506" t="s">
        <v>48</v>
      </c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5">
      <c r="A35" s="25"/>
      <c r="B35" s="13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22.5" customHeight="1" x14ac:dyDescent="0.25">
      <c r="A36" s="25"/>
      <c r="B36" s="137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x14ac:dyDescent="0.25">
      <c r="A37" s="25"/>
      <c r="B37" s="13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x14ac:dyDescent="0.25">
      <c r="A38" s="25"/>
      <c r="B38" s="13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5.75" customHeight="1" x14ac:dyDescent="0.25">
      <c r="A39" s="25"/>
      <c r="B39" s="137"/>
      <c r="C39" s="25"/>
      <c r="D39" s="50"/>
      <c r="E39" s="50"/>
      <c r="F39" s="50"/>
      <c r="G39" s="50"/>
      <c r="H39" s="50"/>
      <c r="I39" s="50"/>
      <c r="J39" s="50"/>
      <c r="K39" s="50"/>
      <c r="L39" s="50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x14ac:dyDescent="0.25">
      <c r="A40" s="25"/>
      <c r="B40" s="137"/>
      <c r="C40" s="25"/>
      <c r="D40" s="138"/>
      <c r="E40" s="138"/>
      <c r="F40" s="138"/>
      <c r="G40" s="138"/>
      <c r="H40" s="138"/>
      <c r="I40" s="138"/>
      <c r="J40" s="138"/>
      <c r="K40" s="138"/>
      <c r="L40" s="138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x14ac:dyDescent="0.25">
      <c r="A41" s="25"/>
      <c r="B41" s="13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x14ac:dyDescent="0.25">
      <c r="A42" s="25"/>
      <c r="B42" s="13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x14ac:dyDescent="0.25">
      <c r="A43" s="25"/>
      <c r="B43" s="13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x14ac:dyDescent="0.25">
      <c r="A44" s="25"/>
      <c r="B44" s="13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x14ac:dyDescent="0.25">
      <c r="A45" s="25"/>
      <c r="B45" s="13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x14ac:dyDescent="0.25">
      <c r="A46" s="25"/>
      <c r="B46" s="13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x14ac:dyDescent="0.25">
      <c r="A47" s="25"/>
      <c r="B47" s="13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x14ac:dyDescent="0.25">
      <c r="A48" s="25"/>
      <c r="B48" s="13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x14ac:dyDescent="0.25">
      <c r="A49" s="25"/>
      <c r="B49" s="13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x14ac:dyDescent="0.25">
      <c r="A50" s="25"/>
      <c r="B50" s="13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x14ac:dyDescent="0.25">
      <c r="A51" s="25"/>
      <c r="B51" s="13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x14ac:dyDescent="0.25">
      <c r="A52" s="25"/>
      <c r="B52" s="137"/>
      <c r="C52" s="504"/>
      <c r="D52" s="515"/>
      <c r="E52" s="515"/>
      <c r="F52" s="515"/>
      <c r="G52" s="515"/>
      <c r="H52" s="515"/>
      <c r="I52" s="515"/>
      <c r="J52" s="515"/>
      <c r="K52" s="515"/>
      <c r="L52" s="51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x14ac:dyDescent="0.25">
      <c r="A53" s="25"/>
      <c r="B53" s="1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x14ac:dyDescent="0.25">
      <c r="A54" s="25"/>
      <c r="B54" s="13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x14ac:dyDescent="0.25">
      <c r="A55" s="25"/>
      <c r="B55" s="13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x14ac:dyDescent="0.25">
      <c r="A56" s="25"/>
      <c r="B56" s="13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x14ac:dyDescent="0.25">
      <c r="A57" s="25"/>
      <c r="B57" s="137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x14ac:dyDescent="0.25">
      <c r="A58" s="25"/>
      <c r="B58" s="13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x14ac:dyDescent="0.25">
      <c r="A59" s="25"/>
      <c r="B59" s="13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x14ac:dyDescent="0.25">
      <c r="A60" s="25"/>
      <c r="B60" s="13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x14ac:dyDescent="0.25">
      <c r="A61" s="25"/>
      <c r="B61" s="13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25">
      <c r="A62" s="25"/>
      <c r="B62" s="13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x14ac:dyDescent="0.25">
      <c r="A63" s="25"/>
      <c r="B63" s="13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x14ac:dyDescent="0.25">
      <c r="A64" s="25"/>
      <c r="B64" s="13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x14ac:dyDescent="0.25">
      <c r="A65" s="25"/>
      <c r="B65" s="13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x14ac:dyDescent="0.25">
      <c r="A66" s="25"/>
      <c r="B66" s="13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x14ac:dyDescent="0.25">
      <c r="A67" s="25"/>
      <c r="B67" s="13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x14ac:dyDescent="0.25">
      <c r="A68" s="25"/>
      <c r="B68" s="13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x14ac:dyDescent="0.25">
      <c r="A69" s="25"/>
      <c r="B69" s="13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x14ac:dyDescent="0.25">
      <c r="A70" s="25"/>
      <c r="B70" s="13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x14ac:dyDescent="0.25">
      <c r="A71" s="25"/>
      <c r="B71" s="137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x14ac:dyDescent="0.25">
      <c r="A72" s="25"/>
      <c r="B72" s="137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x14ac:dyDescent="0.25">
      <c r="A73" s="25"/>
      <c r="B73" s="137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5">
      <c r="A74" s="25"/>
      <c r="B74" s="137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x14ac:dyDescent="0.25">
      <c r="A75" s="25"/>
      <c r="B75" s="13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x14ac:dyDescent="0.25">
      <c r="A76" s="25"/>
      <c r="B76" s="13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x14ac:dyDescent="0.25">
      <c r="A77" s="25"/>
      <c r="B77" s="13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x14ac:dyDescent="0.25">
      <c r="A78" s="25"/>
      <c r="B78" s="13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25">
      <c r="A79" s="25"/>
      <c r="B79" s="137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x14ac:dyDescent="0.25">
      <c r="A80" s="25"/>
      <c r="B80" s="137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x14ac:dyDescent="0.25">
      <c r="A81" s="25"/>
      <c r="B81" s="13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x14ac:dyDescent="0.25">
      <c r="A82" s="25"/>
      <c r="B82" s="137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x14ac:dyDescent="0.25">
      <c r="A83" s="25"/>
      <c r="B83" s="137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x14ac:dyDescent="0.25">
      <c r="A84" s="25"/>
      <c r="B84" s="13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x14ac:dyDescent="0.25">
      <c r="A85" s="25"/>
      <c r="B85" s="137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x14ac:dyDescent="0.25">
      <c r="A86" s="25"/>
      <c r="B86" s="13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x14ac:dyDescent="0.25">
      <c r="A87" s="25"/>
      <c r="B87" s="13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x14ac:dyDescent="0.25">
      <c r="A88" s="25"/>
      <c r="B88" s="137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x14ac:dyDescent="0.25">
      <c r="A89" s="25"/>
      <c r="B89" s="137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x14ac:dyDescent="0.25">
      <c r="A90" s="25"/>
      <c r="B90" s="137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x14ac:dyDescent="0.25">
      <c r="A91" s="25"/>
      <c r="B91" s="137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x14ac:dyDescent="0.25">
      <c r="A92" s="25"/>
      <c r="B92" s="137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x14ac:dyDescent="0.25">
      <c r="A93" s="25"/>
      <c r="B93" s="137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x14ac:dyDescent="0.25">
      <c r="A94" s="25"/>
      <c r="B94" s="137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x14ac:dyDescent="0.25">
      <c r="A95" s="25"/>
      <c r="B95" s="137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</sheetData>
  <sheetProtection sheet="1" objects="1" scenarios="1"/>
  <mergeCells count="28">
    <mergeCell ref="C57:L57"/>
    <mergeCell ref="C24:L24"/>
    <mergeCell ref="C28:M28"/>
    <mergeCell ref="B34:M34"/>
    <mergeCell ref="C36:M36"/>
    <mergeCell ref="C32:M32"/>
    <mergeCell ref="C29:M29"/>
    <mergeCell ref="C26:M26"/>
    <mergeCell ref="B23:B24"/>
    <mergeCell ref="B28:B29"/>
    <mergeCell ref="B31:B32"/>
    <mergeCell ref="C52:L52"/>
    <mergeCell ref="C23:M23"/>
    <mergeCell ref="C20:M20"/>
    <mergeCell ref="C17:M17"/>
    <mergeCell ref="B1:L1"/>
    <mergeCell ref="C9:M9"/>
    <mergeCell ref="C10:M10"/>
    <mergeCell ref="C14:M14"/>
    <mergeCell ref="B9:B10"/>
    <mergeCell ref="C12:M12"/>
    <mergeCell ref="B5:M5"/>
    <mergeCell ref="B6:M6"/>
    <mergeCell ref="B16:B17"/>
    <mergeCell ref="B19:B21"/>
    <mergeCell ref="C16:M16"/>
    <mergeCell ref="C19:M19"/>
    <mergeCell ref="C21:M21"/>
  </mergeCells>
  <phoneticPr fontId="4" type="noConversion"/>
  <pageMargins left="0.78740157480314965" right="0.78740157480314965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zoomScaleNormal="100" workbookViewId="0">
      <selection activeCell="J12" sqref="J12"/>
    </sheetView>
  </sheetViews>
  <sheetFormatPr baseColWidth="10" defaultRowHeight="12.75" x14ac:dyDescent="0.2"/>
  <sheetData>
    <row r="1" spans="1:14" x14ac:dyDescent="0.2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x14ac:dyDescent="0.2">
      <c r="A2" s="354"/>
      <c r="B2" s="354" t="s">
        <v>343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x14ac:dyDescent="0.2">
      <c r="A4" s="354"/>
      <c r="B4" s="400" t="s">
        <v>376</v>
      </c>
      <c r="C4" s="354"/>
      <c r="D4" s="355" t="s">
        <v>345</v>
      </c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1:14" x14ac:dyDescent="0.2">
      <c r="A5" s="354"/>
      <c r="B5" s="400" t="s">
        <v>374</v>
      </c>
      <c r="C5" s="354"/>
      <c r="D5" s="355" t="s">
        <v>375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spans="1:14" x14ac:dyDescent="0.2">
      <c r="A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</row>
    <row r="7" spans="1:14" x14ac:dyDescent="0.2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1:14" x14ac:dyDescent="0.2">
      <c r="A8" s="354"/>
      <c r="B8" s="354" t="s">
        <v>344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9" spans="1:14" x14ac:dyDescent="0.2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x14ac:dyDescent="0.2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</row>
    <row r="11" spans="1:14" x14ac:dyDescent="0.2">
      <c r="A11" s="354"/>
      <c r="B11" s="356" t="s">
        <v>373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</row>
    <row r="12" spans="1:14" x14ac:dyDescent="0.2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</row>
    <row r="13" spans="1:14" x14ac:dyDescent="0.2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4" x14ac:dyDescent="0.2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</row>
    <row r="15" spans="1:14" x14ac:dyDescent="0.2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</row>
    <row r="16" spans="1:14" x14ac:dyDescent="0.2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</row>
    <row r="17" spans="1:14" x14ac:dyDescent="0.2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</row>
    <row r="18" spans="1:14" x14ac:dyDescent="0.2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</row>
    <row r="19" spans="1:14" x14ac:dyDescent="0.2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</row>
    <row r="20" spans="1:14" x14ac:dyDescent="0.2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</row>
    <row r="21" spans="1:14" x14ac:dyDescent="0.2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</row>
    <row r="22" spans="1:14" x14ac:dyDescent="0.2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</row>
    <row r="23" spans="1:14" x14ac:dyDescent="0.2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</row>
    <row r="24" spans="1:14" x14ac:dyDescent="0.2">
      <c r="A24" s="354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</row>
    <row r="25" spans="1:14" x14ac:dyDescent="0.2">
      <c r="A25" s="354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</row>
    <row r="26" spans="1:14" x14ac:dyDescent="0.2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</row>
    <row r="27" spans="1:14" x14ac:dyDescent="0.2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</row>
    <row r="28" spans="1:14" x14ac:dyDescent="0.2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  <row r="29" spans="1:14" x14ac:dyDescent="0.2">
      <c r="A29" s="354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</row>
    <row r="30" spans="1:14" x14ac:dyDescent="0.2">
      <c r="A30" s="354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spans="1:14" x14ac:dyDescent="0.2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</row>
    <row r="32" spans="1:14" x14ac:dyDescent="0.2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</row>
    <row r="33" spans="1:14" x14ac:dyDescent="0.2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2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</row>
    <row r="35" spans="1:14" x14ac:dyDescent="0.2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</row>
    <row r="36" spans="1:14" x14ac:dyDescent="0.2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</row>
    <row r="37" spans="1:14" x14ac:dyDescent="0.2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</row>
    <row r="38" spans="1:14" x14ac:dyDescent="0.2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</row>
    <row r="39" spans="1:14" x14ac:dyDescent="0.2">
      <c r="A39" s="354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</row>
    <row r="40" spans="1:14" x14ac:dyDescent="0.2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</row>
    <row r="41" spans="1:14" x14ac:dyDescent="0.2">
      <c r="A41" s="354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</row>
    <row r="42" spans="1:14" x14ac:dyDescent="0.2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</row>
    <row r="43" spans="1:14" x14ac:dyDescent="0.2">
      <c r="A43" s="35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</row>
    <row r="44" spans="1:14" x14ac:dyDescent="0.2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</row>
    <row r="45" spans="1:14" x14ac:dyDescent="0.2">
      <c r="A45" s="35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</row>
    <row r="46" spans="1:14" x14ac:dyDescent="0.2">
      <c r="A46" s="354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</row>
    <row r="47" spans="1:14" x14ac:dyDescent="0.2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</row>
    <row r="48" spans="1:14" x14ac:dyDescent="0.2">
      <c r="A48" s="354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</row>
    <row r="49" spans="1:14" x14ac:dyDescent="0.2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</row>
    <row r="50" spans="1:14" x14ac:dyDescent="0.2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</row>
  </sheetData>
  <hyperlinks>
    <hyperlink ref="D4" r:id="rId1" xr:uid="{00000000-0004-0000-0200-000000000000}"/>
    <hyperlink ref="D5" r:id="rId2" xr:uid="{00000000-0004-0000-0200-000001000000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doc_FSCFOLIO_1_1001_FieldDocumentNumber" text=""/>
    <f:field ref="doc_FSCFOLIO_1_1001_FieldSubject" text="" edit="true"/>
    <f:field ref="FSCFOLIO_1_1001_SignaturesFldCtx_FSCFOLIO_1_1001_FieldLastSignature" text="Schlusszeichnung"/>
    <f:field ref="FSCFOLIO_1_1001_SignaturesFldCtx_FSCFOLIO_1_1001_FieldLastSignatureBy" text="Krügel, Roland, StMUK"/>
    <f:field ref="FSCFOLIO_1_1001_SignaturesFldCtx_FSCFOLIO_1_1001_FieldLastSignatureAt" date="2024-01-10T09:58:48" text="10.01.2024 09:58:48"/>
    <f:field ref="FSCFOLIO_1_1001_SignaturesFldCtx_FSCFOLIO_1_1001_FieldLastSignatureRemark" text=""/>
    <f:field ref="FSCFOLIO_1_1001_FieldCurrentUser" text="Marlene Anderl"/>
    <f:field ref="FSCFOLIO_1_1001_FieldCurrentDate" text="10.01.2024 10:1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alkulationshilfe - 2024" edit="true"/>
    <f:field ref="DEPRECONFIG_15_1001_Objektname" text="Kalkulationshilfe - 2024" edit="true"/>
    <f:field ref="CFGBAYERN_15_1400_FieldDocumentTitle" text="" edit="true"/>
    <f:field ref="CFGBAYERN_15_1400_FieldDocumentSubject" text="Reisekosten bei Schülerfahrten;&#10;Aktualisierung der Kalkulationshilfe 2024" multiline="true" edit="true"/>
    <f:field ref="CCAPRECONFIG_15_1001_RichFieldSubFileSubject" text="&lt;?xml version=&quot;1.0&quot; standalone=&quot;yes&quot;?&gt;&#10;&lt;?mso-application progid=&quot;Word.Document&quot;?&gt;&#10;&lt;pkg:package xmlns:pkg=&quot;http://schemas.microsoft.com/office/2006/xmlPackage&quot;&gt;&lt;pkg:part pkg:name=&quot;/_rels/.rels&quot; pkg:contentType=&quot;application/vnd.openxmlformats-package.relationships+xml&quot;&gt;&lt;pkg:xmlData&gt;&lt;Relationships xmlns=&quot;http://schemas.openxmlformats.org/package/2006/relationships&quot;&gt;&lt;Relationship Id=&quot;rId1&quot; Type=&quot;http://schemas.openxmlformats.org/officeDocument/2006/relationships/officeDocument&quot; Target=&quot;word/document.xml&quot;/&gt;&lt;/Relationships&gt;&lt;/pkg:xmlData&gt;&lt;/pkg:part&gt;&lt;pkg:part pkg:name=&quot;/word/document.xml&quot; pkg:contentType=&quot;application/vnd.openxmlformats-officedocument.wordprocessingml.document.main+xml&quot;&gt;&lt;pkg:xmlData&gt;&lt;w:document xmlns:w=&quot;http://schemas.openxmlformats.org/wordprocessingml/2006/main&quot;&gt;&lt;w:body&gt;&lt;w:p&gt;&lt;w:pPr&gt;&lt;w:pStyle w:val=&quot;CCAPRECONFIG_15_1001_RichFieldSubFileSubject&quot;/&gt;&lt;/w:pPr&gt;&lt;w:r&gt;&lt;w:t xml:space=&quot;preserve&quot;&gt;Reisekosten bei Schülerfahrten;&lt;/w:t&gt;&lt;/w:r&gt;&lt;/w:p&gt;&lt;w:p&gt;&lt;w:pPr&gt;&lt;w:pStyle w:val=&quot;CCAPRECONFIG_15_1001_RichFieldSubFileSubject&quot;/&gt;&lt;/w:pPr&gt;&lt;w:r&gt;&lt;w:t xml:space=&quot;preserve&quot;&gt;Aktualisierung der Kalkulationshilfe 2024&lt;/w:t&gt;&lt;/w:r&gt;&lt;/w:p&gt;&lt;w:p&gt;&lt;w:r&gt;&lt;w:rPr&gt;&lt;w:sz w:val=&quot;2&quot;/&gt;&lt;w:szCS w:val=&quot;2&quot;/&gt;&lt;/w:rPr&gt;&lt;w:t&gt;.&lt;/w:t&gt;&lt;/w:r&gt;&lt;/w:p&gt;&lt;w:sectPr&gt;&lt;w:pgSz w:w=&quot;12240&quot; w:h=&quot;15840&quot;/&gt;&lt;w:pgMar w:top=&quot;1417&quot; w:right=&quot;1417&quot; w:bottom=&quot;1134&quot; w:left=&quot;1417&quot; w:header=&quot;720&quot; w:footer=&quot;720&quot; w:gutter=&quot;0&quot;/&gt;&lt;w:cols w:space=&quot;720&quot;/&gt;&lt;/w:sectPr&gt;&lt;/w:body&gt;&lt;/w:document&gt;&lt;/pkg:xmlData&gt;&lt;/pkg:part&gt;&lt;pkg:part pkg:name=&quot;/word/_rels/document.xml.rels&quot; pkg:contentType=&quot;application/vnd.openxmlformats-package.relationships+xml&quot;&gt;&lt;pkg:xmlData&gt;&lt;Relationships xmlns=&quot;http://schemas.openxmlformats.org/package/2006/relationships&quot;&gt;&lt;Relationship Id=&quot;rId1&quot; Type=&quot;http://schemas.openxmlformats.org/officeDocument/2006/relationships/styles&quot; Target=&quot;styles.xml&quot;/&gt;&lt;/Relationships&gt;&lt;/pkg:xmlData&gt;&lt;/pkg:part&gt;&lt;pkg:part pkg:name=&quot;/word/styles.xml&quot; pkg:contentType=&quot;application/vnd.openxmlformats-officedocument.wordprocessingml.styles+xml&quot;&gt;&lt;pkg:xmlData&gt;&lt;w:styles xmlns:w=&quot;http://schemas.openxmlformats.org/wordprocessingml/2006/main&quot;&gt;&lt;w:style w:type=&quot;paragraph&quot; w:default=&quot;1&quot; w:styleId=&quot;Normal&quot;&gt;&lt;w:name w:val=&quot;Normal&quot;/&gt;&lt;w:qFormat/&gt;&lt;/w:style&gt;&lt;w:style w:type=&quot;character&quot; w:default=&quot;1&quot; w:styleId=&quot;DefaultParagraphFont&quot;&gt;&lt;w:name w:val=&quot;Default Paragraph Font&quot;/&gt;&lt;w:uiPriority w:val=&quot;1&quot;/&gt;&lt;w:semiHidden/&gt;&lt;w:unhideWhenUsed/&gt;&lt;/w:style&gt;&lt;w:style w:type=&quot;character&quot; w:styleId=&quot;PlaceholderText&quot;&gt;&lt;w:name w:val=&quot;Placeholder Text&quot;/&gt;&lt;w:basedOn w:val=&quot;DefaultParagraphFont&quot;/&gt;&lt;w:uiPriority w:val=&quot;99&quot;/&gt;&lt;w:semiHidden/&gt;&lt;/w:style&gt;&lt;w:style w:type=&quot;character&quot; w:customStyle=&quot;1&quot; w:styleId=&quot;BalloonTextChar&quot;&gt;&lt;w:name w:val=&quot;Balloon Text Char&quot;/&gt;&lt;w:basedOn w:val=&quot;DefaultParagraphFont&quot;/&gt;&lt;w:link w:val=&quot;BalloonText&quot;/&gt;&lt;w:uiPriority w:val=&quot;99&quot;/&gt;&lt;w:semiHidden/&gt;&lt;/w:style&gt;&lt;w:style w:type=&quot;character&quot; w:customStyle=&quot;1&quot; w:styleId=&quot;HeaderChar&quot;&gt;&lt;w:name w:val=&quot;Header Char&quot;/&gt;&lt;w:basedOn w:val=&quot;DefaultParagraphFont&quot;/&gt;&lt;w:link w:val=&quot;Header&quot;/&gt;&lt;w:uiPriority w:val=&quot;99&quot;/&gt;&lt;/w:style&gt;&lt;w:style w:type=&quot;character&quot; w:customStyle=&quot;1&quot; w:styleId=&quot;FooterChar&quot;&gt;&lt;w:name w:val=&quot;Footer Char&quot;/&gt;&lt;w:basedOn w:val=&quot;DefaultParagraphFont&quot;/&gt;&lt;w:link w:val=&quot;Footer&quot;/&gt;&lt;w:uiPriority w:val=&quot;99&quot;/&gt;&lt;/w:style&gt;&lt;w:style w:type=&quot;paragraph&quot; w:styleId=&quot;BalloonText&quot;&gt;&lt;w:name w:val=&quot;Balloon Text&quot;/&gt;&lt;w:basedOn w:val=&quot;Normal&quot;/&gt;&lt;w:link w:val=&quot;BalloonTextChar&quot;/&gt;&lt;w:uiPriority w:val=&quot;99&quot;/&gt;&lt;w:semiHidden/&gt;&lt;w:unhideWhenUsed/&gt;&lt;/w:style&gt;&lt;w:style w:type=&quot;paragraph&quot; w:styleId=&quot;Header&quot;&gt;&lt;w:name w:val=&quot;header&quot;/&gt;&lt;w:basedOn w:val=&quot;Normal&quot;/&gt;&lt;w:link w:val=&quot;HeaderChar&quot;/&gt;&lt;w:uiPriority w:val=&quot;99&quot;/&gt;&lt;w:unhideWhenUsed/&gt;&lt;/w:style&gt;&lt;w:style w:type=&quot;paragraph&quot; w:styleId=&quot;Footer&quot;&gt;&lt;w:name w:val=&quot;footer&quot;/&gt;&lt;w:basedOn w:val=&quot;Normal&quot;/&gt;&lt;w:link w:val=&quot;FooterChar&quot;/&gt;&lt;w:uiPriority w:val=&quot;99&quot;/&gt;&lt;w:unhideWhenUsed/&gt;&lt;/w:style&gt;&lt;w:style w:type=&quot;paragraph&quot; w:customStyle=&quot;1&quot; w:styleId=&quot;CCAPRECONFIG_15_1001_RichFieldSubFileSubject&quot;&gt;&lt;w:name w:val=&quot;CCAPRECONFIG_15_1001_RichFieldSubFileSubject&quot;/&gt;&lt;w:basedOn w:val=&quot;Normal&quot;/&gt;&lt;w:uiPriority w:val=&quot;99&quot;/&gt;&lt;w:qFormat/&gt;&lt;/w:style&gt;&lt;/w:styles&gt;&lt;/pkg:xmlData&gt;&lt;/pkg:part&gt;&lt;/pkg:package&gt;" package="true" multiline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Per E-Mail Alle staatlichen Schulen in Bayern (per OWA), &#10;Per E-Mail Alle Schulämter (per OWA), " multiline="true"/>
    <f:field ref="CFGBAYERN_15_1400_FieldDocumentRecipientsBlocked" text="Per E-Mail&#10;Alle staatlichen Schulen in Bayern (per OWA)&#10;&#10;Per E-Mail&#10;Alle Schulämter (per OWA)&#10;" multiline="true"/>
    <f:field ref="CFGBAYERN_15_1400_FieldDocumentCopyRecipients" text="Per E-Mail Sachgebiete 43 der Regierungen (per OWA) An die, &#10;Per E-Mail Ministerialbeauftragten für die Gymnasien in Bayern (per OWA) An die, &#10;Per E-Mail Ministerialbeauftragten für die Realschulen in Bayern (per OWA) An alle, &#10;Per E-Mail Ministerialbeauftragten für die Fach- und Berufsoberschulen (per OWA) An alle, &#10;Per E-Mail Frau Eva Maria Schwab, im Hause, &#10;Per E-Mail Herrn Elmar Diller, im Hause, &#10;Per E-Mail Frau Dr. Stefanie Martin, im Hause, &#10;Per E-Mail Herrn Maximilian Pangerl, im Hause, &#10;Per E-Mail Hauptpersonalrat beim Bayer. Staatsministerium für Unterricht und Kultus An den, Englschalkinger Str. 12, 81925 München &#10;Per E-Mail Herrn Roland Krügel, im Hause, &#10;Per E-Mail Frau Dr. Gerda Graf, im Hause, &#10;Per E-Mail Frau Kornelia Salamon, im Hause, " multiline="true"/>
    <f:field ref="CFGBAYERN_15_1400_FieldDocumentCopyRecipientsBlocked" text="Per E-Mail&#10;Sachgebiete 43 der Regierungen (per OWA)&#10;An die&#10;&#10;Per E-Mail&#10;Ministerialbeauftragten für die Gymnasien in Bayern (per OWA)&#10;An die&#10;&#10;Per E-Mail&#10;Ministerialbeauftragten für die Realschulen in Bayern (per OWA)&#10;An alle&#10;&#10;Per E-Mail&#10;Ministerialbeauftragten für die Fach- und Berufsoberschulen (per OWA)&#10;An alle&#10;&#10;Per E-Mail&#10;Frau&#10;Eva Maria Schwab &#10;im Hause&#10;&#10;Per E-Mail&#10;Herrn&#10;Elmar Diller &#10;im Hause&#10;&#10;Per E-Mail&#10;Frau&#10;Dr. Stefanie Martin &#10;im Hause&#10;&#10;Per E-Mail&#10;Herrn&#10;Maximilian Pangerl &#10;im Hause&#10;&#10;Per E-Mail&#10;Hauptpersonalrat beim Bayer. Staatsministerium für Unterricht und Kultus&#10;An den&#10;Englschalkinger Str. 12&#10;81925 München&#10;&#10;Per E-Mail&#10;Herrn&#10;Roland Krügel &#10;im Hause&#10;&#10;Per E-Mail&#10;Frau&#10;Dr. Gerda Graf &#10;im Hause&#10;&#10;Per E-Mail&#10;Frau&#10;Kornelia Salamon &#10;im Hause&#10;" multiline="true"/>
    <f:field ref="CFGBAYERN_15_1400_FieldDocumentWorkflowFloatingFile" text="Kein Laufweg ermittelbar. Schriftstück muss direkt in 'Ergänzende Dokumente' einer Umlaufmappe liegen!" multiline="true"/>
    <f:field ref="BAYLFST_15_1800_FieldDocumentTitle" text="" edit="true"/>
    <f:field ref="BAYLFST_15_1800_FieldDocumentSubject" text="Reisekosten bei Schülerfahrten;&#10;Aktualisierung der Kalkulationshilfe 2024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Per E-Mail Alle staatlichen Schulen in Bayern (per OWA), &#10;Per E-Mail Alle Schulämter (per OWA), " multiline="true"/>
    <f:field ref="CFGBAYERNEX_15_1800_FieldWorkflowFloatingFile" text="Kein Laufweg ermittelbar. Schriftstück muss direkt in 'Ergänzende Dokumente' einer Umlaufmappe liegen!" multiline="true"/>
    <f:field ref="objname" text="Kalkulationshilfe - 2024" edit="true"/>
    <f:field ref="objsubject" text="" edit="true"/>
    <f:field ref="objcreatedby" text="Wiedemann, Peter, StMUK"/>
    <f:field ref="objcreatedat" date="2024-01-08T15:54:07" text="08.01.2024 15:54:07"/>
    <f:field ref="objchangedby" text="Krügel, Roland, StMUK"/>
    <f:field ref="objmodifiedat" date="2024-01-10T09:58:50" text="10.01.2024 09:58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CAPRECONFIG_15_1001_RichFieldSubFileSubject" text="Bay-Betreff (Erledigung) - Formatierbar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CFGBAYERN_15_1400_FieldDocumentWorkflowFloatingFile" text="Bay-Laufweg (Umlaufmappe)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chulenStaatlich@schulen.bayern.de"/>
    <f:field ref="CFGBAYERN_15_1400_Fax" text=""/>
    <f:field ref="CFGBAYERN_15_1400_Telefon" text=""/>
    <f:field ref="CFGBAYERN_15_1400_Mobiltelefon" text=""/>
    <f:field ref="CFGBAYERN_15_1400_Organisation_Name_vollstaendig" text="Alle staatlichen Schulen in Bayer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Alle staatlichen Schulen in Bayern (per OWA)"/>
    <f:field ref="CCAPRECONFIG_15_1001_Anlagen" text="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FGBAYERN_15_1400_Kopieempfaenger_Versandinformation" text=""/>
    <f:field ref="CFGBAYERN_15_1400_Kopieempfaenger_KompletteAdresse" text="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display text="Serialcontext &gt; Adressaten">
    <f:field ref="CFGBAYERN_15_1400_Anrede" text="OBSOLET_Adressanrede"/>
    <f:field ref="CFGBAYERN_15_1400_Titel" text="Titel"/>
    <f:field ref="CFGBAYERN_15_1400_Vorname" text="Vorname"/>
    <f:field ref="CFGBAYERN_15_1400_Nachname" text="Nachname"/>
    <f:field ref="CFGBAYERN_15_1400_Hauptadresse_Strasse" text="Hauptadresse_Strasse"/>
    <f:field ref="CFGBAYERN_15_1400_Hauptadresse_Postfach" text="Hauptadresse_Postfach"/>
    <f:field ref="CFGBAYERN_15_1400_Hauptadresse_Postleitzahl" text="Hauptadresse_Postleitzahl"/>
    <f:field ref="CFGBAYERN_15_1400_Hauptadresse_Ort" text="Hauptadresse_Ort"/>
    <f:field ref="CFGBAYERN_15_1400_Hauptadresse_Gemeinde" text="Hauptadresse_Gemeinde"/>
    <f:field ref="CFGBAYERN_15_1400_Hauptadresse_Bundesland" text="Hauptadresse_Bundesland"/>
    <f:field ref="CFGBAYERN_15_1400_Hauptadresse_Land" text="Hauptadresse_Land"/>
    <f:field ref="CFGBAYERN_15_1400_EMailAdresse" text="EMailAdresse"/>
    <f:field ref="CFGBAYERN_15_1400_Fax" text="Fax"/>
    <f:field ref="CFGBAYERN_15_1400_Telefon" text="Telefon"/>
    <f:field ref="CFGBAYERN_15_1400_Mobiltelefon" text="Mobiltelefon"/>
    <f:field ref="CFGBAYERN_15_1400_Organisation_Name_vollstaendig" text="Organisation_Name_vollstaendig"/>
    <f:field ref="CFGBAYERN_15_1400_Organisation_Kurzname" text="Organisation_Kurzname"/>
    <f:field ref="CFGBAYERN_15_1400_Organisation_Opt_Adressangaben" text="Organisation_Opt_Adressangaben"/>
    <f:field ref="CFGBAYERN_15_1400_Geschlecht" text="Geschlecht"/>
    <f:field ref="CFGBAYERN_15_1400_Geboren_am" text="Geboren_am"/>
    <f:field ref="CFGBAYERN_15_1400_Geboren_in" text="Geboren_in"/>
    <f:field ref="CFGBAYERN_15_1400_Namenszusatz" text="Namenszusatz"/>
    <f:field ref="CFGBAYERN_15_1400_Briefanrede" text="Briefanrede"/>
    <f:field ref="CFGBAYERN_15_1400_Dienstbezeichnung" text="Dienstbezeichnung"/>
    <f:field ref="CFGBAYERN_15_1400_Funktionsbezeichnung" text="Funktionsbezeichnung"/>
    <f:field ref="CFGBAYERN_15_1400_Versand_und_Zustellvermerk" text="Versand_und_Zustellvermerk"/>
    <f:field ref="CFGBAYERN_15_1400_Bemerkung" text="Bemerkung"/>
    <f:field ref="CFGBAYERN_15_1400_Beschreibung_der_pers_Anlagen" text="Beschreibung_der_pers_Anlagen"/>
    <f:field ref="CFGBAYERN_15_1400_Kategorie" text="Kategorie"/>
    <f:field ref="CFGBAYERN_15_1400_Versandart" text="Versandart"/>
    <f:field ref="CFGBAYERN_15_1400_Kontoverbindung_Kontonummer" text="Kontoverbindung_Kontonummer"/>
    <f:field ref="CFGBAYERN_15_1400_Kontoverbindung_Kontoinhaber" text="Kontoverbindung_Kontoinhaber"/>
    <f:field ref="CFGBAYERN_15_1400_Kontoverbindung_Institut" text="Kontoverbindung_Institut"/>
    <f:field ref="CFGBAYERN_15_1400_Kontoverbindung_Bankleitzahl" text="Kontoverbindung_Bankleitzahl"/>
    <f:field ref="CFGBAYERN_15_1400_Kontoverbindung_IBAN" text="Kontoverbindung_IBAN"/>
    <f:field ref="CFGBAYERN_15_1400_Kontoverbindung_BIC" text="Kontoverbindung_BIC"/>
    <f:field ref="CFGBAYERN_15_1400_Kopietext" text="Kopietext"/>
    <f:field ref="CFGBAYERN_15_1400_Kopietext_ohne_Adressat" text="Kopietext_ohne_Adressat"/>
    <f:field ref="CFGBAYERN_15_1400_Kopietext_vorlagenspezifisch" text="Kopietext_vorlagenspezifisch"/>
    <f:field ref="CFGBAYERN_15_1400_Zusatz_1" text="Zusatz 1"/>
    <f:field ref="CFGBAYERN_15_1400_Zusatz_2" text="Zusatz 2"/>
    <f:field ref="CFGBAYERN_15_1400_Zusatz_3" text="Zusatz 3"/>
    <f:field ref="CFGBAYERN_15_1400_Zusatz_4" text="Zusatz 4"/>
    <f:field ref="CFGBAYERN_15_1400_Zusatz_5" text="Zusatz 5"/>
    <f:field ref="CCAPRECONFIG_15_1001_Versandinformation" text="Versandinformation"/>
    <f:field ref="CCAPRECONFIG_15_1001_KompletteAdresse" text="Komplette Adresse"/>
    <f:field ref="CCAPRECONFIG_15_1001_Anlagen" text="Anlagen"/>
    <f:field ref="CFGBAYERN_15_1400_Kopieempfaenger_Anrede" text="OBSOLET_Kopieempfaenger_Adressanrede"/>
    <f:field ref="CFGBAYERN_15_1400_Kopieempfaenger_Titel" text="Kopieempfaenger_Titel"/>
    <f:field ref="CFGBAYERN_15_1400_Kopieempfaenger_Vorname" text="Kopieempfaenger_Vorname"/>
    <f:field ref="CFGBAYERN_15_1400_Kopieempfaenger_Nachname" text="Kopieempfaenger_Nachname"/>
    <f:field ref="CFGBAYERN_15_1400_Kopieempfaenger_Strasse" text="Kopieempfaenger_Strasse"/>
    <f:field ref="CFGBAYERN_15_1400_Kopieempfaenger_Postfach" text="Kopieempfaenger_Postfach"/>
    <f:field ref="CFGBAYERN_15_1400_Kopieempfaenger_Postleitzahl" text="Kopieempfaenger_Postleitzahl"/>
    <f:field ref="CFGBAYERN_15_1400_Kopieempfaenger_Ort" text="Kopieempfaenger_Ort"/>
    <f:field ref="CFGBAYERN_15_1400_Kopieempfaenger_Gemeinde" text="Kopieempfaenger_Gemeinde"/>
    <f:field ref="CFGBAYERN_15_1400_Kopieempfaenger_Bundesland" text="Kopieempfaenger_Bundesland"/>
    <f:field ref="CFGBAYERN_15_1400_Kopieempfaenger_Land" text="Kopieempfaenger_Land"/>
    <f:field ref="CFGBAYERN_15_1400_Kopieempfaenger_Org_Name" text="Kopieempfaenger_Org_Name"/>
    <f:field ref="CFGBAYERN_15_1400_Kopieempfaenger_Org_Kurzname" text="Kopieempfaenger_Org_Kurzname"/>
    <f:field ref="CFGBAYERN_15_1400_Kopieempfaenger_Org_Option_Adressan" text="Kopieempfaenger_Org_Option_Adressan"/>
    <f:field ref="CFGBAYERN_15_1400_Kopieempfaenger_Namenszusatz" text="Kopieempfaenger_Namenszusatz"/>
    <f:field ref="CFGBAYERN_15_1400_Kopieempfaenger_Briefanrede" text="Kopieempfaenger_Briefanrede"/>
    <f:field ref="CFGBAYERN_15_1400_Kopieempfaenger_Dienstbezeichnung" text="Kopieempfaenger_Dienstbezeichnung"/>
    <f:field ref="CFGBAYERN_15_1400_Kopieempfaenger_Funktionsbezeichnung" text="Kopieempfaenger_Funktionsbezeichnung"/>
    <f:field ref="CFGBAYERN_15_1400_Kopieempfaenger_Beschr_pers_Anlagen" text="Kopieempfaenger_Beschr_pers_Anlagen"/>
    <f:field ref="CFGBAYERN_15_1400_Kopieempfaenger_Kategorie" text="Kopieempfaenger_Kategorie"/>
    <f:field ref="CFGBAYERN_15_1400_Kopieempfaenger_Versandart" text="Kopieempfaenger_Versandart"/>
    <f:field ref="CFGBAYERN_15_1400_Kopieempfaenger_Versandinformation" text="Kopieempfänger - Versandinformation"/>
    <f:field ref="CFGBAYERN_15_1400_Kopieempfaenger_KompletteAdresse" text="Kopieempfänger - Komplette Adresse"/>
    <f:field ref="CFGBAYERN_15_1400_Kopieempfaenger_Anlagen" text="Kopieempfänger - Anlagen"/>
    <f:field ref="CCAPRECONFIG_15_1001_AntwortReferenz" text="Antwort Referenz"/>
    <f:field ref="CCAPRECONFIG_15_1001_Anlagentext" text="Anlagentext"/>
    <f:field ref="CFGBAYERN_15_1400_gezbeiEMail" text="gez. (bei E-Mail)"/>
  </f:display>
  <f:record inx="2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chulaemter@schulen.bayern.de"/>
    <f:field ref="CFGBAYERN_15_1400_Fax" text=""/>
    <f:field ref="CFGBAYERN_15_1400_Telefon" text=""/>
    <f:field ref="CFGBAYERN_15_1400_Mobiltelefon" text=""/>
    <f:field ref="CFGBAYERN_15_1400_Organisation_Name_vollstaendig" text="Alle Schulämter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Alle Schulämter (per OWA)"/>
    <f:field ref="CCAPRECONFIG_15_1001_Anlagen" text="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FGBAYERN_15_1400_Kopieempfaenger_Versandinformation" text=""/>
    <f:field ref="CFGBAYERN_15_1400_Kopieempfaenger_KompletteAdresse" text="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3">
    <f:field ref="CFGBAYERN_15_1400_Anrede" text="An di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RegierungenSG43@schulen.bayern.de"/>
    <f:field ref="CFGBAYERN_15_1400_Fax" text=""/>
    <f:field ref="CFGBAYERN_15_1400_Telefon" text=""/>
    <f:field ref="CFGBAYERN_15_1400_Mobiltelefon" text=""/>
    <f:field ref="CFGBAYERN_15_1400_Organisation_Name_vollstaendig" text="Sachgebiete 43 der Regierung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Sachgebiete 43 der Regierungen (per OWA) An di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Sachgebiete 43 der Regierungen (per OWA)"/>
    <f:field ref="CCAPRECONFIG_15_1001_Anlagen" text=""/>
    <f:field ref="CFGBAYERN_15_1400_Kopieempfaenger_Anrede" text="An di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Sachgebiete 43 der Regierunge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Sachgebiete 43 der Regierunge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4">
    <f:field ref="CFGBAYERN_15_1400_Anrede" text="An di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BsGymnasien@schulen.bayern.de"/>
    <f:field ref="CFGBAYERN_15_1400_Fax" text=""/>
    <f:field ref="CFGBAYERN_15_1400_Telefon" text=""/>
    <f:field ref="CFGBAYERN_15_1400_Mobiltelefon" text=""/>
    <f:field ref="CFGBAYERN_15_1400_Organisation_Name_vollstaendig" text="Ministerialbeauftragten für die Gymnasien in Bayer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Ministerialbeauftragten für die Gymnasien in Bayern (per OWA) An di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inisterialbeauftragten für die Gymnasien in Bayern (per OWA)"/>
    <f:field ref="CCAPRECONFIG_15_1001_Anlagen" text=""/>
    <f:field ref="CFGBAYERN_15_1400_Kopieempfaenger_Anrede" text="An di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Ministerialbeauftragten für die Gymnasien in Bayer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inisterialbeauftragten für die Gymnasien in Bayer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5">
    <f:field ref="CFGBAYERN_15_1400_Anrede" text="An all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BsRealschulen@schulen.bayern.de"/>
    <f:field ref="CFGBAYERN_15_1400_Fax" text=""/>
    <f:field ref="CFGBAYERN_15_1400_Telefon" text=""/>
    <f:field ref="CFGBAYERN_15_1400_Mobiltelefon" text=""/>
    <f:field ref="CFGBAYERN_15_1400_Organisation_Name_vollstaendig" text="Ministerialbeauftragten für die Realschulen in Bayer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Ministerialbeauftragten für die Realschulen in Bayern (per OWA) An all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inisterialbeauftragten für die Realschulen in Bayern (per OWA)"/>
    <f:field ref="CCAPRECONFIG_15_1001_Anlagen" text=""/>
    <f:field ref="CFGBAYERN_15_1400_Kopieempfaenger_Anrede" text="An all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Ministerialbeauftragten für die Realschulen in Bayer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inisterialbeauftragten für die Realschulen in Bayer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6">
    <f:field ref="CFGBAYERN_15_1400_Anrede" text="An all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BsFOS_BOS@schulen.bayern.de"/>
    <f:field ref="CFGBAYERN_15_1400_Fax" text=""/>
    <f:field ref="CFGBAYERN_15_1400_Telefon" text=""/>
    <f:field ref="CFGBAYERN_15_1400_Mobiltelefon" text=""/>
    <f:field ref="CFGBAYERN_15_1400_Organisation_Name_vollstaendig" text="Ministerialbeauftragten für die Fach- und Berufsober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Ministerialbeauftragten für die Fach- und Berufsoberschulen (per OWA) An all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inisterialbeauftragten für die Fach- und Berufsoberschulen (per OWA)"/>
    <f:field ref="CCAPRECONFIG_15_1001_Anlagen" text=""/>
    <f:field ref="CFGBAYERN_15_1400_Kopieempfaenger_Anrede" text="An all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Ministerialbeauftragten für die Fach- und Berufsoberschule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inisterialbeauftragten für die Fach- und Berufsoberschule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7">
    <f:field ref="CFGBAYERN_15_1400_Anrede" text="Frau"/>
    <f:field ref="CFGBAYERN_15_1400_Titel" text=""/>
    <f:field ref="CFGBAYERN_15_1400_Vorname" text="Eva Maria"/>
    <f:field ref="CFGBAYERN_15_1400_Nachname" text="Schwab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Eva.Schwab@stmuk.bayern.de"/>
    <f:field ref="CFGBAYERN_15_1400_Fax" text=""/>
    <f:field ref="CFGBAYERN_15_1400_Telefon" text="2555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Schwab,"/>
    <f:field ref="CFGBAYERN_15_1400_Dienstbezeichnung" text="Leitende 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Eva Maria Schwab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Eva Maria Schwab&#10;im Hause"/>
    <f:field ref="CCAPRECONFIG_15_1001_Anlagen" text=""/>
    <f:field ref="CFGBAYERN_15_1400_Kopieempfaenger_Anrede" text="Frau"/>
    <f:field ref="CFGBAYERN_15_1400_Kopieempfaenger_Titel" text=""/>
    <f:field ref="CFGBAYERN_15_1400_Kopieempfaenger_Vorname" text="Eva Maria"/>
    <f:field ref="CFGBAYERN_15_1400_Kopieempfaenger_Nachname" text="Schwab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Schwab,"/>
    <f:field ref="CFGBAYERN_15_1400_Kopieempfaenger_Dienstbezeichnung" text="Leitende 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Eva Maria Schwab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8">
    <f:field ref="CFGBAYERN_15_1400_Anrede" text="Herrn"/>
    <f:field ref="CFGBAYERN_15_1400_Titel" text=""/>
    <f:field ref="CFGBAYERN_15_1400_Vorname" text="Elmar"/>
    <f:field ref="CFGBAYERN_15_1400_Nachname" text="Diller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Elmar.Diller@stmuk.bayern.de"/>
    <f:field ref="CFGBAYERN_15_1400_Fax" text=""/>
    <f:field ref="CFGBAYERN_15_1400_Telefon" text="254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Diller,"/>
    <f:field ref="CFGBAYERN_15_1400_Dienstbezeichnung" text="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errn Elmar Diller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Elmar Diller&#10;im Hause"/>
    <f:field ref="CCAPRECONFIG_15_1001_Anlagen" text=""/>
    <f:field ref="CFGBAYERN_15_1400_Kopieempfaenger_Anrede" text="Herrn"/>
    <f:field ref="CFGBAYERN_15_1400_Kopieempfaenger_Titel" text=""/>
    <f:field ref="CFGBAYERN_15_1400_Kopieempfaenger_Vorname" text="Elmar"/>
    <f:field ref="CFGBAYERN_15_1400_Kopieempfaenger_Nachname" text="Diller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r Herr Diller,"/>
    <f:field ref="CFGBAYERN_15_1400_Kopieempfaenger_Dienstbezeichnung" text="Ministerialrat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Elmar Diller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9">
    <f:field ref="CFGBAYERN_15_1400_Anrede" text="Frau"/>
    <f:field ref="CFGBAYERN_15_1400_Titel" text="Dr."/>
    <f:field ref="CFGBAYERN_15_1400_Vorname" text="Stefanie"/>
    <f:field ref="CFGBAYERN_15_1400_Nachname" text="Martin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fanie.Martin@stmuk.bayern.de"/>
    <f:field ref="CFGBAYERN_15_1400_Fax" text=""/>
    <f:field ref="CFGBAYERN_15_1400_Telefon" text="2514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Dr. Martin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Dr. Stefanie Martin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Dr. Stefanie Martin&#10;im Hause"/>
    <f:field ref="CCAPRECONFIG_15_1001_Anlagen" text=""/>
    <f:field ref="CFGBAYERN_15_1400_Kopieempfaenger_Anrede" text="Frau"/>
    <f:field ref="CFGBAYERN_15_1400_Kopieempfaenger_Titel" text="Dr."/>
    <f:field ref="CFGBAYERN_15_1400_Kopieempfaenger_Vorname" text="Stefanie"/>
    <f:field ref="CFGBAYERN_15_1400_Kopieempfaenger_Nachname" text="Martin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Dr. Martin,"/>
    <f:field ref="CFGBAYERN_15_1400_Kopieempfaenger_Dienstbezeichnung" text="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Dr. Stefanie Martin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0">
    <f:field ref="CFGBAYERN_15_1400_Anrede" text="Herrn"/>
    <f:field ref="CFGBAYERN_15_1400_Titel" text=""/>
    <f:field ref="CFGBAYERN_15_1400_Vorname" text="Maximilian"/>
    <f:field ref="CFGBAYERN_15_1400_Nachname" text="Pangerl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ximilian.Pangerl@stmuk.bayern.de"/>
    <f:field ref="CFGBAYERN_15_1400_Fax" text=""/>
    <f:field ref="CFGBAYERN_15_1400_Telefon" text="2456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Pangerl,"/>
    <f:field ref="CFGBAYERN_15_1400_Dienstbezeichnung" text="Leitender 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errn Maximilian Pangerl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aximilian Pangerl&#10;im Hause"/>
    <f:field ref="CCAPRECONFIG_15_1001_Anlagen" text=""/>
    <f:field ref="CFGBAYERN_15_1400_Kopieempfaenger_Anrede" text="Herrn"/>
    <f:field ref="CFGBAYERN_15_1400_Kopieempfaenger_Titel" text=""/>
    <f:field ref="CFGBAYERN_15_1400_Kopieempfaenger_Vorname" text="Maximilian"/>
    <f:field ref="CFGBAYERN_15_1400_Kopieempfaenger_Nachname" text="Pangerl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r Herr Pangerl,"/>
    <f:field ref="CFGBAYERN_15_1400_Kopieempfaenger_Dienstbezeichnung" text="Leitender Ministerialrat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aximilian Pangerl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1">
    <f:field ref="CFGBAYERN_15_1400_Anrede" text="An den"/>
    <f:field ref="CFGBAYERN_15_1400_Titel" text=""/>
    <f:field ref="CFGBAYERN_15_1400_Vorname" text=""/>
    <f:field ref="CFGBAYERN_15_1400_Nachname" text=""/>
    <f:field ref="CFGBAYERN_15_1400_Hauptadresse_Strasse" text="Englschalkinger Str. 12"/>
    <f:field ref="CFGBAYERN_15_1400_Hauptadresse_Postfach" text=""/>
    <f:field ref="CFGBAYERN_15_1400_Hauptadresse_Postleitzahl" text="81925"/>
    <f:field ref="CFGBAYERN_15_1400_Hauptadresse_Ort" text="München"/>
    <f:field ref="CFGBAYERN_15_1400_Hauptadresse_Gemeinde" text=""/>
    <f:field ref="CFGBAYERN_15_1400_Hauptadresse_Bundesland" text=""/>
    <f:field ref="CFGBAYERN_15_1400_Hauptadresse_Land" text=""/>
    <f:field ref="CFGBAYERN_15_1400_EMailAdresse" text="hauptpersonalrat@stmuk.bayern.de"/>
    <f:field ref="CFGBAYERN_15_1400_Fax" text=""/>
    <f:field ref="CFGBAYERN_15_1400_Telefon" text=""/>
    <f:field ref="CFGBAYERN_15_1400_Mobiltelefon" text=""/>
    <f:field ref="CFGBAYERN_15_1400_Organisation_Name_vollstaendig" text="Hauptpersonalrat beim Bayer. Staatsministerium für Unterricht und Kultus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r Herr Nitschke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auptpersonalrat beim Bayer. Staatsministerium für Unterricht und Kultus An den, Englschalkinger Str. 12, 81925 München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Hauptpersonalrat beim Bayer. Staatsministerium für Unterricht und Kultus&#10;Englschalkinger Str. 12&#10;81925 München"/>
    <f:field ref="CCAPRECONFIG_15_1001_Anlagen" text=""/>
    <f:field ref="CFGBAYERN_15_1400_Kopieempfaenger_Anrede" text="An den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Englschalkinger Str. 12"/>
    <f:field ref="CFGBAYERN_15_1400_Kopieempfaenger_Postfach" text=""/>
    <f:field ref="CFGBAYERN_15_1400_Kopieempfaenger_Postleitzahl" text="81925"/>
    <f:field ref="CFGBAYERN_15_1400_Kopieempfaenger_Ort" text="München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Hauptpersonalrat beim Bayer. Staatsministerium für Unterricht und Kultus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Hauptpersonalrat beim Bayer. Staatsministerium für Unterricht und Kultus&#10;Englschalkinger Str. 12&#10;81925 München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2">
    <f:field ref="CFGBAYERN_15_1400_Anrede" text="Herrn"/>
    <f:field ref="CFGBAYERN_15_1400_Titel" text=""/>
    <f:field ref="CFGBAYERN_15_1400_Vorname" text="Roland"/>
    <f:field ref="CFGBAYERN_15_1400_Nachname" text="Krügel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Roland.Kruegel@stmuk.bayern.de"/>
    <f:field ref="CFGBAYERN_15_1400_Fax" text=""/>
    <f:field ref="CFGBAYERN_15_1400_Telefon" text="228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Krügel,"/>
    <f:field ref="CFGBAYERN_15_1400_Dienstbezeichnung" text="Leitender 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errn Roland Krügel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Roland Krügel&#10;im Hause"/>
    <f:field ref="CCAPRECONFIG_15_1001_Anlagen" text=""/>
    <f:field ref="CFGBAYERN_15_1400_Kopieempfaenger_Anrede" text="Herrn"/>
    <f:field ref="CFGBAYERN_15_1400_Kopieempfaenger_Titel" text=""/>
    <f:field ref="CFGBAYERN_15_1400_Kopieempfaenger_Vorname" text="Roland"/>
    <f:field ref="CFGBAYERN_15_1400_Kopieempfaenger_Nachname" text="Krügel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r Herr Krügel,"/>
    <f:field ref="CFGBAYERN_15_1400_Kopieempfaenger_Dienstbezeichnung" text="Leitender Ministerialrat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Roland Krügel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3">
    <f:field ref="CFGBAYERN_15_1400_Anrede" text="Frau"/>
    <f:field ref="CFGBAYERN_15_1400_Titel" text="Dr."/>
    <f:field ref="CFGBAYERN_15_1400_Vorname" text="Gerda"/>
    <f:field ref="CFGBAYERN_15_1400_Nachname" text="Graf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Gerda.Graf@stmuk.bayern.de"/>
    <f:field ref="CFGBAYERN_15_1400_Fax" text=""/>
    <f:field ref="CFGBAYERN_15_1400_Telefon" text="2414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Dr. Graf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Dr. Gerda Graf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Dr. Gerda Graf&#10;im Hause"/>
    <f:field ref="CCAPRECONFIG_15_1001_Anlagen" text=""/>
    <f:field ref="CFGBAYERN_15_1400_Kopieempfaenger_Anrede" text="Frau"/>
    <f:field ref="CFGBAYERN_15_1400_Kopieempfaenger_Titel" text="Dr."/>
    <f:field ref="CFGBAYERN_15_1400_Kopieempfaenger_Vorname" text="Gerda"/>
    <f:field ref="CFGBAYERN_15_1400_Kopieempfaenger_Nachname" text="Graf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Dr. Graf,"/>
    <f:field ref="CFGBAYERN_15_1400_Kopieempfaenger_Dienstbezeichnung" text="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Dr. Gerda Graf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4">
    <f:field ref="CFGBAYERN_15_1400_Anrede" text="Frau"/>
    <f:field ref="CFGBAYERN_15_1400_Titel" text=""/>
    <f:field ref="CFGBAYERN_15_1400_Vorname" text="Kornelia"/>
    <f:field ref="CFGBAYERN_15_1400_Nachname" text="Salamon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ornelia.Salamon@stmuk.bayern.de"/>
    <f:field ref="CFGBAYERN_15_1400_Fax" text=""/>
    <f:field ref="CFGBAYERN_15_1400_Telefon" text="2771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Salamon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Kornelia Salamon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Kornelia Salamon&#10;im Hause"/>
    <f:field ref="CCAPRECONFIG_15_1001_Anlagen" text=""/>
    <f:field ref="CFGBAYERN_15_1400_Kopieempfaenger_Anrede" text="Frau"/>
    <f:field ref="CFGBAYERN_15_1400_Kopieempfaenger_Titel" text=""/>
    <f:field ref="CFGBAYERN_15_1400_Kopieempfaenger_Vorname" text="Kornelia"/>
    <f:field ref="CFGBAYERN_15_1400_Kopieempfaenger_Nachname" text="Salamon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Salamon,"/>
    <f:field ref="CFGBAYERN_15_1400_Kopieempfaenger_Dienstbezeichnung" text="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Kornelia Salamon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Berechnungsmaske</vt:lpstr>
      <vt:lpstr>Erläuterungen</vt:lpstr>
      <vt:lpstr>Kontakt</vt:lpstr>
      <vt:lpstr>Berechnungsmaske!Druckbereich</vt:lpstr>
      <vt:lpstr>Berechnungsmaske!Suchkriterien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b3irrgangw</dc:creator>
  <cp:lastModifiedBy>Doern Brigitte</cp:lastModifiedBy>
  <cp:revision>0</cp:revision>
  <cp:lastPrinted>2023-01-17T09:20:57Z</cp:lastPrinted>
  <dcterms:created xsi:type="dcterms:W3CDTF">2008-05-26T10:49:01Z</dcterms:created>
  <dcterms:modified xsi:type="dcterms:W3CDTF">2024-01-10T09:59:30Z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ProcAddSubjNumber">
    <vt:lpwstr/>
  </property>
  <property fmtid="{D5CDD505-2E9C-101B-9397-08002B2CF9AE}" pid="3" name="FSC#CFGBAYERN@15.1400:BankDetailsIDOwnerGroup">
    <vt:lpwstr/>
  </property>
  <property fmtid="{D5CDD505-2E9C-101B-9397-08002B2CF9AE}" pid="4" name="FSC#CFGBAYERN@15.1400:BankDetailsIDOwner">
    <vt:lpwstr/>
  </property>
  <property fmtid="{D5CDD505-2E9C-101B-9397-08002B2CF9AE}" pid="5" name="FSC#CFGBAYERN@15.1400:BankDetailsOwnerGroup">
    <vt:lpwstr/>
  </property>
  <property fmtid="{D5CDD505-2E9C-101B-9397-08002B2CF9AE}" pid="6" name="FSC#CFGBAYERN@15.1400:BankDetailsOwner">
    <vt:lpwstr/>
  </property>
  <property fmtid="{D5CDD505-2E9C-101B-9397-08002B2CF9AE}" pid="7" name="FSC#CFGBAYERN@15.1400:DocumentFileUrgency">
    <vt:lpwstr/>
  </property>
  <property fmtid="{D5CDD505-2E9C-101B-9397-08002B2CF9AE}" pid="8" name="FSC#CFGBAYERN@15.1400:IncAttachments">
    <vt:lpwstr/>
  </property>
  <property fmtid="{D5CDD505-2E9C-101B-9397-08002B2CF9AE}" pid="9" name="FSC#CFGBAYERN@15.1400:VisitingHoursOwnerGroup">
    <vt:lpwstr/>
  </property>
  <property fmtid="{D5CDD505-2E9C-101B-9397-08002B2CF9AE}" pid="10" name="FSC#CFGBAYERN@15.1400:DocumentFileSubject">
    <vt:lpwstr>Reisekosten bei Schülerfahrten;_x000d_
Aktualisierung der Kalkulationshilfe 2024</vt:lpwstr>
  </property>
  <property fmtid="{D5CDD505-2E9C-101B-9397-08002B2CF9AE}" pid="11" name="FSC#CFGBAYERN@15.1400:FileSubject">
    <vt:lpwstr/>
  </property>
  <property fmtid="{D5CDD505-2E9C-101B-9397-08002B2CF9AE}" pid="12" name="FSC#CFGBAYERN@15.1400:BankDetailsBICOwnerGroup">
    <vt:lpwstr/>
  </property>
  <property fmtid="{D5CDD505-2E9C-101B-9397-08002B2CF9AE}" pid="13" name="FSC#CFGBAYERN@15.1400:BankDetailsBICOwner">
    <vt:lpwstr/>
  </property>
  <property fmtid="{D5CDD505-2E9C-101B-9397-08002B2CF9AE}" pid="14" name="FSC#CFGBAYERN@15.1400:AddrDate">
    <vt:lpwstr/>
  </property>
  <property fmtid="{D5CDD505-2E9C-101B-9397-08002B2CF9AE}" pid="15" name="FSC#CFGBAYERN@15.1400:OwnerGroupOfficeBuilding">
    <vt:lpwstr/>
  </property>
  <property fmtid="{D5CDD505-2E9C-101B-9397-08002B2CF9AE}" pid="16" name="FSC#CFGBAYERN@15.1400:OwnerOfficeBuilding">
    <vt:lpwstr>Salvatorstr. 2</vt:lpwstr>
  </property>
  <property fmtid="{D5CDD505-2E9C-101B-9397-08002B2CF9AE}" pid="17" name="FSC#CFGBAYERN@15.1400:OwnerName">
    <vt:lpwstr>Wiedemann Peter</vt:lpwstr>
  </property>
  <property fmtid="{D5CDD505-2E9C-101B-9397-08002B2CF9AE}" pid="18" name="FSC#CFGBAYERN@15.1400:OwnerFunction">
    <vt:lpwstr/>
  </property>
  <property fmtid="{D5CDD505-2E9C-101B-9397-08002B2CF9AE}" pid="19" name="FSC#CFGBAYERN@15.1400:OwnerGender">
    <vt:lpwstr>Männlich</vt:lpwstr>
  </property>
  <property fmtid="{D5CDD505-2E9C-101B-9397-08002B2CF9AE}" pid="20" name="FSC#CFGBAYERN@15.1400:OwnerJobTitle">
    <vt:lpwstr/>
  </property>
  <property fmtid="{D5CDD505-2E9C-101B-9397-08002B2CF9AE}" pid="21" name="FSC#CFGBAYERN@15.1400:OwnerSurName">
    <vt:lpwstr>Wiedemann</vt:lpwstr>
  </property>
  <property fmtid="{D5CDD505-2E9C-101B-9397-08002B2CF9AE}" pid="22" name="FSC#CFGBAYERN@15.1400:OwnerNameAffix">
    <vt:lpwstr/>
  </property>
  <property fmtid="{D5CDD505-2E9C-101B-9397-08002B2CF9AE}" pid="23" name="FSC#CFGBAYERN@15.1400:OwnerTitle">
    <vt:lpwstr/>
  </property>
  <property fmtid="{D5CDD505-2E9C-101B-9397-08002B2CF9AE}" pid="24" name="FSC#CFGBAYERN@15.1400:OwnerFirstName">
    <vt:lpwstr>Peter</vt:lpwstr>
  </property>
  <property fmtid="{D5CDD505-2E9C-101B-9397-08002B2CF9AE}" pid="25" name="FSC#CFGBAYERN@15.1400:OwnerAdditional1">
    <vt:lpwstr/>
  </property>
  <property fmtid="{D5CDD505-2E9C-101B-9397-08002B2CF9AE}" pid="26" name="FSC#CFGBAYERN@15.1400:OwnerAdditional2">
    <vt:lpwstr/>
  </property>
  <property fmtid="{D5CDD505-2E9C-101B-9397-08002B2CF9AE}" pid="27" name="FSC#CFGBAYERN@15.1400:OwnerAdditional3">
    <vt:lpwstr/>
  </property>
  <property fmtid="{D5CDD505-2E9C-101B-9397-08002B2CF9AE}" pid="28" name="FSC#CFGBAYERN@15.1400:OwnerAdditional4">
    <vt:lpwstr/>
  </property>
  <property fmtid="{D5CDD505-2E9C-101B-9397-08002B2CF9AE}" pid="29" name="FSC#CFGBAYERN@15.1400:OwnerAdditional5">
    <vt:lpwstr/>
  </property>
  <property fmtid="{D5CDD505-2E9C-101B-9397-08002B2CF9AE}" pid="30" name="FSC#CFGBAYERN@15.1400:EmailOwnerGroup">
    <vt:lpwstr/>
  </property>
  <property fmtid="{D5CDD505-2E9C-101B-9397-08002B2CF9AE}" pid="31" name="FSC#CFGBAYERN@15.1400:EmailOwner">
    <vt:lpwstr>peter.wiedemann@stmuk.bayern.de</vt:lpwstr>
  </property>
  <property fmtid="{D5CDD505-2E9C-101B-9397-08002B2CF9AE}" pid="32" name="FSC#CFGBAYERN@15.1400:Recipients">
    <vt:lpwstr>Per E-Mail Alle staatlichen Schulen in Bayern (per OWA), _x000d_
Per E-Mail Alle Schulämter (per OWA), </vt:lpwstr>
  </property>
  <property fmtid="{D5CDD505-2E9C-101B-9397-08002B2CF9AE}" pid="33" name="FSC#CFGBAYERN@15.1400:RecipientsBlocked">
    <vt:lpwstr>Per E-Mail_x000d_
Alle staatlichen Schulen in Bayern (per OWA)_x000d_
_x000d_
Per E-Mail_x000d_
Alle Schulämter (per OWA)_x000d_
</vt:lpwstr>
  </property>
  <property fmtid="{D5CDD505-2E9C-101B-9397-08002B2CF9AE}" pid="34" name="FSC#CFGBAYERN@15.1400:FaxNumberOwnerGroup">
    <vt:lpwstr/>
  </property>
  <property fmtid="{D5CDD505-2E9C-101B-9397-08002B2CF9AE}" pid="35" name="FSC#CFGBAYERN@15.1400:FaxNumberOwner">
    <vt:lpwstr/>
  </property>
  <property fmtid="{D5CDD505-2E9C-101B-9397-08002B2CF9AE}" pid="36" name="FSC#CFGBAYERN@15.1400:ForeignNr">
    <vt:lpwstr>P1719.33-1-1-3L41</vt:lpwstr>
  </property>
  <property fmtid="{D5CDD505-2E9C-101B-9397-08002B2CF9AE}" pid="37" name="FSC#CFGBAYERN@15.1400:DocumentName">
    <vt:lpwstr>II.5-BP4005.0/4/8</vt:lpwstr>
  </property>
  <property fmtid="{D5CDD505-2E9C-101B-9397-08002B2CF9AE}" pid="38" name="FSC#CFGBAYERN@15.1400:BankDetailsIBANOwnerGroup">
    <vt:lpwstr/>
  </property>
  <property fmtid="{D5CDD505-2E9C-101B-9397-08002B2CF9AE}" pid="39" name="FSC#CFGBAYERN@15.1400:BankDetailsIBANOwner">
    <vt:lpwstr/>
  </property>
  <property fmtid="{D5CDD505-2E9C-101B-9397-08002B2CF9AE}" pid="40" name="FSC#CFGBAYERN@15.1400:BankDetailsNameOwnerGroup">
    <vt:lpwstr/>
  </property>
  <property fmtid="{D5CDD505-2E9C-101B-9397-08002B2CF9AE}" pid="41" name="FSC#CFGBAYERN@15.1400:BankDetailsNameOwner">
    <vt:lpwstr/>
  </property>
  <property fmtid="{D5CDD505-2E9C-101B-9397-08002B2CF9AE}" pid="42" name="FSC#CFGBAYERN@15.1400:BankDetailsOwnerOwnerGroup">
    <vt:lpwstr/>
  </property>
  <property fmtid="{D5CDD505-2E9C-101B-9397-08002B2CF9AE}" pid="43" name="FSC#CFGBAYERN@15.1400:BankDetailsOwnerOwner">
    <vt:lpwstr/>
  </property>
  <property fmtid="{D5CDD505-2E9C-101B-9397-08002B2CF9AE}" pid="44" name="FSC#CFGBAYERN@15.1400:BankDetailsAccountOwnerGroup">
    <vt:lpwstr/>
  </property>
  <property fmtid="{D5CDD505-2E9C-101B-9397-08002B2CF9AE}" pid="45" name="FSC#CFGBAYERN@15.1400:BankDetailsAccountOwner">
    <vt:lpwstr/>
  </property>
  <property fmtid="{D5CDD505-2E9C-101B-9397-08002B2CF9AE}" pid="46" name="FSC#CFGBAYERN@15.1400:CopyRecipients">
    <vt:lpwstr>Per E-Mail Sachgebiete 43 der Regierungen (per OWA) An die, _x000d_
Per E-Mail Ministerialbeauftragten für die Gymnasien in Bayern (per OWA) An die, _x000d_
Per E-Mail Ministerialbeauftragten für die Realschulen in Bayern (per OWA) An alle, _x000d_
Per E-Mail Ministerialbe</vt:lpwstr>
  </property>
  <property fmtid="{D5CDD505-2E9C-101B-9397-08002B2CF9AE}" pid="47" name="FSC#CFGBAYERN@15.1400:CopyRecipientsBlocked">
    <vt:lpwstr>Per E-Mail_x000d_
Sachgebiete 43 der Regierungen (per OWA)_x000d_
An die_x000d_
_x000d_
Per E-Mail_x000d_
Ministerialbeauftragten für die Gymnasien in Bayern (per OWA)_x000d_
An die_x000d_
_x000d_
Per E-Mail_x000d_
Ministerialbeauftragten für die Realschulen in Bayern (per OWA)_x000d_
An alle_x000d_
_x000d_
Per E-Mail_x000d_
Minist</vt:lpwstr>
  </property>
  <property fmtid="{D5CDD505-2E9C-101B-9397-08002B2CF9AE}" pid="48" name="FSC#CFGBAYERN@15.1400:OrganizationOwnerGroup">
    <vt:lpwstr>II.5 (II.5 (StMUK))</vt:lpwstr>
  </property>
  <property fmtid="{D5CDD505-2E9C-101B-9397-08002B2CF9AE}" pid="49" name="FSC#CFGBAYERN@15.1400:SignFinalVersionByJobTitle">
    <vt:lpwstr>Leitender Ministerialrat</vt:lpwstr>
  </property>
  <property fmtid="{D5CDD505-2E9C-101B-9397-08002B2CF9AE}" pid="50" name="FSC#CFGBAYERN@15.1400:SignFinalVersionByFunction">
    <vt:lpwstr/>
  </property>
  <property fmtid="{D5CDD505-2E9C-101B-9397-08002B2CF9AE}" pid="51" name="FSC#CFGBAYERN@15.1400:SignFinalVersionBySurname">
    <vt:lpwstr>Krügel</vt:lpwstr>
  </property>
  <property fmtid="{D5CDD505-2E9C-101B-9397-08002B2CF9AE}" pid="52" name="FSC#CFGBAYERN@15.1400:SignFinalVersionByNameAffix">
    <vt:lpwstr/>
  </property>
  <property fmtid="{D5CDD505-2E9C-101B-9397-08002B2CF9AE}" pid="53" name="FSC#CFGBAYERN@15.1400:SignFinalVersionByTitle">
    <vt:lpwstr/>
  </property>
  <property fmtid="{D5CDD505-2E9C-101B-9397-08002B2CF9AE}" pid="54" name="FSC#CFGBAYERN@15.1400:SignFinalVersionByFirstname">
    <vt:lpwstr>Roland</vt:lpwstr>
  </property>
  <property fmtid="{D5CDD505-2E9C-101B-9397-08002B2CF9AE}" pid="55" name="FSC#CFGBAYERN@15.1400:SignApprovedByJobTitle">
    <vt:lpwstr>Ministerialrat</vt:lpwstr>
  </property>
  <property fmtid="{D5CDD505-2E9C-101B-9397-08002B2CF9AE}" pid="56" name="FSC#CFGBAYERN@15.1400:SignApprovedByFunction">
    <vt:lpwstr/>
  </property>
  <property fmtid="{D5CDD505-2E9C-101B-9397-08002B2CF9AE}" pid="57" name="FSC#CFGBAYERN@15.1400:SignApprovedBySurname">
    <vt:lpwstr>Bruchhäuser</vt:lpwstr>
  </property>
  <property fmtid="{D5CDD505-2E9C-101B-9397-08002B2CF9AE}" pid="58" name="FSC#CFGBAYERN@15.1400:SignApprovedByNameAffix">
    <vt:lpwstr/>
  </property>
  <property fmtid="{D5CDD505-2E9C-101B-9397-08002B2CF9AE}" pid="59" name="FSC#CFGBAYERN@15.1400:SignApprovedByTitle">
    <vt:lpwstr/>
  </property>
  <property fmtid="{D5CDD505-2E9C-101B-9397-08002B2CF9AE}" pid="60" name="FSC#CFGBAYERN@15.1400:SignApprovedByFirstname">
    <vt:lpwstr>Christian</vt:lpwstr>
  </property>
  <property fmtid="{D5CDD505-2E9C-101B-9397-08002B2CF9AE}" pid="61" name="FSC#CFGBAYERN@15.1400:SignApprovedAt">
    <vt:lpwstr>10.01.2024</vt:lpwstr>
  </property>
  <property fmtid="{D5CDD505-2E9C-101B-9397-08002B2CF9AE}" pid="62" name="FSC#CFGBAYERN@15.1400:SignAcceptDraftByJobTitle">
    <vt:lpwstr>Ministerialdirigent</vt:lpwstr>
  </property>
  <property fmtid="{D5CDD505-2E9C-101B-9397-08002B2CF9AE}" pid="63" name="FSC#CFGBAYERN@15.1400:SignAcceptDraftByFunction">
    <vt:lpwstr/>
  </property>
  <property fmtid="{D5CDD505-2E9C-101B-9397-08002B2CF9AE}" pid="64" name="FSC#CFGBAYERN@15.1400:SignAcceptDraftBySurname">
    <vt:lpwstr>Butz</vt:lpwstr>
  </property>
  <property fmtid="{D5CDD505-2E9C-101B-9397-08002B2CF9AE}" pid="65" name="FSC#CFGBAYERN@15.1400:SignAcceptDraftByNameAffix">
    <vt:lpwstr/>
  </property>
  <property fmtid="{D5CDD505-2E9C-101B-9397-08002B2CF9AE}" pid="66" name="FSC#CFGBAYERN@15.1400:SignAcceptDraftByTitle">
    <vt:lpwstr/>
  </property>
  <property fmtid="{D5CDD505-2E9C-101B-9397-08002B2CF9AE}" pid="67" name="FSC#CFGBAYERN@15.1400:SignAcceptDraftByFirstname">
    <vt:lpwstr>Bernhard</vt:lpwstr>
  </property>
  <property fmtid="{D5CDD505-2E9C-101B-9397-08002B2CF9AE}" pid="68" name="FSC#CFGBAYERN@15.1400:SignAcceptDraftAt">
    <vt:lpwstr>09.01.2024</vt:lpwstr>
  </property>
  <property fmtid="{D5CDD505-2E9C-101B-9397-08002B2CF9AE}" pid="69" name="FSC#CFGBAYERN@15.1400:SignViewedByJobTitle">
    <vt:lpwstr/>
  </property>
  <property fmtid="{D5CDD505-2E9C-101B-9397-08002B2CF9AE}" pid="70" name="FSC#CFGBAYERN@15.1400:SignViewedByFunction">
    <vt:lpwstr/>
  </property>
  <property fmtid="{D5CDD505-2E9C-101B-9397-08002B2CF9AE}" pid="71" name="FSC#CFGBAYERN@15.1400:SignViewedBySurname">
    <vt:lpwstr/>
  </property>
  <property fmtid="{D5CDD505-2E9C-101B-9397-08002B2CF9AE}" pid="72" name="FSC#CFGBAYERN@15.1400:SignViewedByNameAffix">
    <vt:lpwstr/>
  </property>
  <property fmtid="{D5CDD505-2E9C-101B-9397-08002B2CF9AE}" pid="73" name="FSC#CFGBAYERN@15.1400:SignViewedByTitle">
    <vt:lpwstr/>
  </property>
  <property fmtid="{D5CDD505-2E9C-101B-9397-08002B2CF9AE}" pid="74" name="FSC#CFGBAYERN@15.1400:SignViewedByFirstname">
    <vt:lpwstr/>
  </property>
  <property fmtid="{D5CDD505-2E9C-101B-9397-08002B2CF9AE}" pid="75" name="FSC#CFGBAYERN@15.1400:SignViewedAt">
    <vt:lpwstr/>
  </property>
  <property fmtid="{D5CDD505-2E9C-101B-9397-08002B2CF9AE}" pid="76" name="FSC#CFGBAYERN@15.1400:TelNumberOwnerGroup">
    <vt:lpwstr/>
  </property>
  <property fmtid="{D5CDD505-2E9C-101B-9397-08002B2CF9AE}" pid="77" name="FSC#CFGBAYERN@15.1400:TelNumberOwner">
    <vt:lpwstr>1952</vt:lpwstr>
  </property>
  <property fmtid="{D5CDD505-2E9C-101B-9397-08002B2CF9AE}" pid="78" name="FSC#CFGBAYERN@15.1400:TelNumberOwnerMobile">
    <vt:lpwstr/>
  </property>
  <property fmtid="{D5CDD505-2E9C-101B-9397-08002B2CF9AE}" pid="79" name="FSC#CFGBAYERN@15.1400:TelNumberOwnerPrivate">
    <vt:lpwstr/>
  </property>
  <property fmtid="{D5CDD505-2E9C-101B-9397-08002B2CF9AE}" pid="80" name="FSC#CFGBAYERN@15.1400:ReferredIncomingLetterDate">
    <vt:lpwstr/>
  </property>
  <property fmtid="{D5CDD505-2E9C-101B-9397-08002B2CF9AE}" pid="81" name="FSC#CFGBAYERN@15.1400:RefIerredncomingForeignNr">
    <vt:lpwstr/>
  </property>
  <property fmtid="{D5CDD505-2E9C-101B-9397-08002B2CF9AE}" pid="82" name="FSC#CFGBAYERN@15.1400:ReferredIncomingFileReference">
    <vt:lpwstr/>
  </property>
  <property fmtid="{D5CDD505-2E9C-101B-9397-08002B2CF9AE}" pid="83" name="FSC#CFGBAYERN@15.1400:SettlementLetterDate">
    <vt:lpwstr/>
  </property>
  <property fmtid="{D5CDD505-2E9C-101B-9397-08002B2CF9AE}" pid="84" name="FSC#CFGBAYERN@15.1400:URLOwnerGroup">
    <vt:lpwstr/>
  </property>
  <property fmtid="{D5CDD505-2E9C-101B-9397-08002B2CF9AE}" pid="85" name="FSC#CFGBAYERN@15.1400:TransportConnectionOwnerGroup">
    <vt:lpwstr/>
  </property>
  <property fmtid="{D5CDD505-2E9C-101B-9397-08002B2CF9AE}" pid="86" name="FSC#CFGBAYERN@15.1400:OwnerRoomNumber">
    <vt:lpwstr>3030</vt:lpwstr>
  </property>
  <property fmtid="{D5CDD505-2E9C-101B-9397-08002B2CF9AE}" pid="87" name="FSC#CFGBAYERNEX@15.1800:ProcedureFileReference">
    <vt:lpwstr>BP4005.0/4</vt:lpwstr>
  </property>
  <property fmtid="{D5CDD505-2E9C-101B-9397-08002B2CF9AE}" pid="88" name="FSC#CFGBAYERNEX@15.1800:OwnerSalutationFromGender">
    <vt:lpwstr>Herr</vt:lpwstr>
  </property>
  <property fmtid="{D5CDD505-2E9C-101B-9397-08002B2CF9AE}" pid="89" name="FSC#CFGBAYERNEX@15.1800:SignFinalVersionBy">
    <vt:lpwstr>Roland Krügel_x000d_
Leitender Ministerialrat</vt:lpwstr>
  </property>
  <property fmtid="{D5CDD505-2E9C-101B-9397-08002B2CF9AE}" pid="90" name="FSC#CFGBAYERN@15.1400:SubjectAreaShortTerm">
    <vt:lpwstr>Reisekosten/Tagegelder der Lehrkräfte</vt:lpwstr>
  </property>
  <property fmtid="{D5CDD505-2E9C-101B-9397-08002B2CF9AE}" pid="91" name="FSC#CFGBAYERN@15.1400:ProcedureBarCode">
    <vt:lpwstr>*COO.4001.106.8.1731451*</vt:lpwstr>
  </property>
  <property fmtid="{D5CDD505-2E9C-101B-9397-08002B2CF9AE}" pid="92" name="FSC#CFGBAYERN@15.1400:ProcedureCreatedOnAt">
    <vt:lpwstr>14.01.2019 10:16:53</vt:lpwstr>
  </property>
  <property fmtid="{D5CDD505-2E9C-101B-9397-08002B2CF9AE}" pid="93" name="FSC#CFGBAYERN@15.1400:CurrentDateTime">
    <vt:lpwstr>10.01.2024 10:17:28</vt:lpwstr>
  </property>
  <property fmtid="{D5CDD505-2E9C-101B-9397-08002B2CF9AE}" pid="94" name="FSC#CFGBAYERN@15.1400:RelatedReferencesSettlement">
    <vt:lpwstr/>
  </property>
  <property fmtid="{D5CDD505-2E9C-101B-9397-08002B2CF9AE}" pid="95" name="FSC#CFGBAYERN@15.1400:AssociatedProcedureTitle">
    <vt:lpwstr>Kalkulationshilfe für Reisekosten bei Schülerfahrten 2019</vt:lpwstr>
  </property>
  <property fmtid="{D5CDD505-2E9C-101B-9397-08002B2CF9AE}" pid="96" name="FSC#CFGBAYERN@15.1400:SettlementTitle">
    <vt:lpwstr/>
  </property>
  <property fmtid="{D5CDD505-2E9C-101B-9397-08002B2CF9AE}" pid="97" name="FSC#CFGBAYERN@15.1400:IncomingTitle">
    <vt:lpwstr/>
  </property>
  <property fmtid="{D5CDD505-2E9C-101B-9397-08002B2CF9AE}" pid="98" name="FSC#CFGBAYERN@15.1400:RespoeLongName">
    <vt:lpwstr>Referat II.5 (StMUK)</vt:lpwstr>
  </property>
  <property fmtid="{D5CDD505-2E9C-101B-9397-08002B2CF9AE}" pid="99" name="FSC#CFGBAYERN@15.1400:RespoeShortName">
    <vt:lpwstr>II.5</vt:lpwstr>
  </property>
  <property fmtid="{D5CDD505-2E9C-101B-9397-08002B2CF9AE}" pid="100" name="FSC#CFGBAYERN@15.1400:RespoeOUSign">
    <vt:lpwstr/>
  </property>
  <property fmtid="{D5CDD505-2E9C-101B-9397-08002B2CF9AE}" pid="101" name="FSC#CFGBAYERN@15.1400:RespoeOrgStreet">
    <vt:lpwstr/>
  </property>
  <property fmtid="{D5CDD505-2E9C-101B-9397-08002B2CF9AE}" pid="102" name="FSC#CFGBAYERN@15.1400:RespoeOrgPobox">
    <vt:lpwstr/>
  </property>
  <property fmtid="{D5CDD505-2E9C-101B-9397-08002B2CF9AE}" pid="103" name="FSC#CFGBAYERN@15.1400:RespoeOrgZipcode">
    <vt:lpwstr/>
  </property>
  <property fmtid="{D5CDD505-2E9C-101B-9397-08002B2CF9AE}" pid="104" name="FSC#CFGBAYERN@15.1400:RespoeOrgCity">
    <vt:lpwstr/>
  </property>
  <property fmtid="{D5CDD505-2E9C-101B-9397-08002B2CF9AE}" pid="105" name="FSC#CFGBAYERN@15.1400:RespoeOrgState">
    <vt:lpwstr/>
  </property>
  <property fmtid="{D5CDD505-2E9C-101B-9397-08002B2CF9AE}" pid="106" name="FSC#CFGBAYERN@15.1400:RespoeOrgCountry">
    <vt:lpwstr/>
  </property>
  <property fmtid="{D5CDD505-2E9C-101B-9397-08002B2CF9AE}" pid="107" name="FSC#CFGBAYERN@15.1400:RespoeOrgDesc">
    <vt:lpwstr/>
  </property>
  <property fmtid="{D5CDD505-2E9C-101B-9397-08002B2CF9AE}" pid="108" name="FSC#CFGBAYERN@15.1400:RespoeOrgName">
    <vt:lpwstr>II.5 (StMUK)</vt:lpwstr>
  </property>
  <property fmtid="{D5CDD505-2E9C-101B-9397-08002B2CF9AE}" pid="109" name="FSC#CFGBAYERN@15.1400:RespoeOrgAdditional1">
    <vt:lpwstr/>
  </property>
  <property fmtid="{D5CDD505-2E9C-101B-9397-08002B2CF9AE}" pid="110" name="FSC#CFGBAYERN@15.1400:RespoeOrgAdditional2">
    <vt:lpwstr/>
  </property>
  <property fmtid="{D5CDD505-2E9C-101B-9397-08002B2CF9AE}" pid="111" name="FSC#CFGBAYERN@15.1400:RespoeOrgAdditional3">
    <vt:lpwstr/>
  </property>
  <property fmtid="{D5CDD505-2E9C-101B-9397-08002B2CF9AE}" pid="112" name="FSC#CFGBAYERN@15.1400:RespoeOrgAdditional4">
    <vt:lpwstr/>
  </property>
  <property fmtid="{D5CDD505-2E9C-101B-9397-08002B2CF9AE}" pid="113" name="FSC#CFGBAYERN@15.1400:RespoeOrgAdditional5">
    <vt:lpwstr/>
  </property>
  <property fmtid="{D5CDD505-2E9C-101B-9397-08002B2CF9AE}" pid="114" name="FSC#CFGBAYERN@15.1400:RespoeOrgShortName">
    <vt:lpwstr>II.5</vt:lpwstr>
  </property>
  <property fmtid="{D5CDD505-2E9C-101B-9397-08002B2CF9AE}" pid="115" name="FSC#CFGBAYERN@15.1400:RespoeOrgNameAffix">
    <vt:lpwstr/>
  </property>
  <property fmtid="{D5CDD505-2E9C-101B-9397-08002B2CF9AE}" pid="116" name="FSC#CFGBAYERN@15.1400:SignSignByJobTitle">
    <vt:lpwstr/>
  </property>
  <property fmtid="{D5CDD505-2E9C-101B-9397-08002B2CF9AE}" pid="117" name="FSC#CFGBAYERN@15.1400:SignSignByFunction">
    <vt:lpwstr/>
  </property>
  <property fmtid="{D5CDD505-2E9C-101B-9397-08002B2CF9AE}" pid="118" name="FSC#CFGBAYERN@15.1400:SignSignBySurname">
    <vt:lpwstr/>
  </property>
  <property fmtid="{D5CDD505-2E9C-101B-9397-08002B2CF9AE}" pid="119" name="FSC#CFGBAYERN@15.1400:SignSignByNameAffix">
    <vt:lpwstr/>
  </property>
  <property fmtid="{D5CDD505-2E9C-101B-9397-08002B2CF9AE}" pid="120" name="FSC#CFGBAYERN@15.1400:SignSignByTitle">
    <vt:lpwstr/>
  </property>
  <property fmtid="{D5CDD505-2E9C-101B-9397-08002B2CF9AE}" pid="121" name="FSC#CFGBAYERN@15.1400:SignSignByFirstname">
    <vt:lpwstr/>
  </property>
  <property fmtid="{D5CDD505-2E9C-101B-9397-08002B2CF9AE}" pid="122" name="FSC#CFGBAYERN@15.1400:SignSignAt">
    <vt:lpwstr/>
  </property>
  <property fmtid="{D5CDD505-2E9C-101B-9397-08002B2CF9AE}" pid="123" name="FSC#CFGBAYERN@15.1400:SignFinalVersionAt">
    <vt:lpwstr>10.01.2024</vt:lpwstr>
  </property>
  <property fmtid="{D5CDD505-2E9C-101B-9397-08002B2CF9AE}" pid="124" name="FSC#CFGBAYERN@15.1400:OwnerSalutationFromGender">
    <vt:lpwstr>Herr</vt:lpwstr>
  </property>
  <property fmtid="{D5CDD505-2E9C-101B-9397-08002B2CF9AE}" pid="125" name="FSC#COOELAK@1.1001:Subject">
    <vt:lpwstr>Reisekosten/Tagegelder der Lehrkräfte</vt:lpwstr>
  </property>
  <property fmtid="{D5CDD505-2E9C-101B-9397-08002B2CF9AE}" pid="126" name="FSC#COOELAK@1.1001:FileReference">
    <vt:lpwstr>BP4005.0</vt:lpwstr>
  </property>
  <property fmtid="{D5CDD505-2E9C-101B-9397-08002B2CF9AE}" pid="127" name="FSC#COOELAK@1.1001:FileRefYear">
    <vt:lpwstr>2015</vt:lpwstr>
  </property>
  <property fmtid="{D5CDD505-2E9C-101B-9397-08002B2CF9AE}" pid="128" name="FSC#COOELAK@1.1001:FileRefOrdinal">
    <vt:lpwstr>1</vt:lpwstr>
  </property>
  <property fmtid="{D5CDD505-2E9C-101B-9397-08002B2CF9AE}" pid="129" name="FSC#COOELAK@1.1001:FileRefOU">
    <vt:lpwstr>RegL</vt:lpwstr>
  </property>
  <property fmtid="{D5CDD505-2E9C-101B-9397-08002B2CF9AE}" pid="130" name="FSC#COOELAK@1.1001:Organization">
    <vt:lpwstr/>
  </property>
  <property fmtid="{D5CDD505-2E9C-101B-9397-08002B2CF9AE}" pid="131" name="FSC#COOELAK@1.1001:Owner">
    <vt:lpwstr>Frau Schäfers</vt:lpwstr>
  </property>
  <property fmtid="{D5CDD505-2E9C-101B-9397-08002B2CF9AE}" pid="132" name="FSC#COOELAK@1.1001:OwnerExtension">
    <vt:lpwstr>2460</vt:lpwstr>
  </property>
  <property fmtid="{D5CDD505-2E9C-101B-9397-08002B2CF9AE}" pid="133" name="FSC#COOELAK@1.1001:OwnerFaxExtension">
    <vt:lpwstr/>
  </property>
  <property fmtid="{D5CDD505-2E9C-101B-9397-08002B2CF9AE}" pid="134" name="FSC#COOELAK@1.1001:DispatchedBy">
    <vt:lpwstr/>
  </property>
  <property fmtid="{D5CDD505-2E9C-101B-9397-08002B2CF9AE}" pid="135" name="FSC#COOELAK@1.1001:DispatchedAt">
    <vt:lpwstr/>
  </property>
  <property fmtid="{D5CDD505-2E9C-101B-9397-08002B2CF9AE}" pid="136" name="FSC#COOELAK@1.1001:ApprovedBy">
    <vt:lpwstr>Krügel Roland</vt:lpwstr>
  </property>
  <property fmtid="{D5CDD505-2E9C-101B-9397-08002B2CF9AE}" pid="137" name="FSC#COOELAK@1.1001:ApprovedAt">
    <vt:lpwstr>10.01.2024</vt:lpwstr>
  </property>
  <property fmtid="{D5CDD505-2E9C-101B-9397-08002B2CF9AE}" pid="138" name="FSC#COOELAK@1.1001:Department">
    <vt:lpwstr>I.2 (Referat I.2 (StMUK))</vt:lpwstr>
  </property>
  <property fmtid="{D5CDD505-2E9C-101B-9397-08002B2CF9AE}" pid="139" name="FSC#COOELAK@1.1001:CreatedAt">
    <vt:lpwstr>08.01.2024</vt:lpwstr>
  </property>
  <property fmtid="{D5CDD505-2E9C-101B-9397-08002B2CF9AE}" pid="140" name="FSC#COOELAK@1.1001:OU">
    <vt:lpwstr>II.5 (Referat II.5 (StMUK))</vt:lpwstr>
  </property>
  <property fmtid="{D5CDD505-2E9C-101B-9397-08002B2CF9AE}" pid="141" name="FSC#COOELAK@1.1001:Priority">
    <vt:lpwstr/>
  </property>
  <property fmtid="{D5CDD505-2E9C-101B-9397-08002B2CF9AE}" pid="142" name="FSC#COOELAK@1.1001:ObjBarCode">
    <vt:lpwstr>*COO.4001.106.5.13873689*</vt:lpwstr>
  </property>
  <property fmtid="{D5CDD505-2E9C-101B-9397-08002B2CF9AE}" pid="143" name="FSC#COOELAK@1.1001:RefBarCode">
    <vt:lpwstr>*COO.4001.106.2.2981815*</vt:lpwstr>
  </property>
  <property fmtid="{D5CDD505-2E9C-101B-9397-08002B2CF9AE}" pid="144" name="FSC#COOELAK@1.1001:FileRefBarCode">
    <vt:lpwstr>*BP4005.0*</vt:lpwstr>
  </property>
  <property fmtid="{D5CDD505-2E9C-101B-9397-08002B2CF9AE}" pid="145" name="FSC#COOELAK@1.1001:ExternalRef">
    <vt:lpwstr/>
  </property>
  <property fmtid="{D5CDD505-2E9C-101B-9397-08002B2CF9AE}" pid="146" name="FSC#COOELAK@1.1001:IncomingNumber">
    <vt:lpwstr/>
  </property>
  <property fmtid="{D5CDD505-2E9C-101B-9397-08002B2CF9AE}" pid="147" name="FSC#COOELAK@1.1001:IncomingSubject">
    <vt:lpwstr/>
  </property>
  <property fmtid="{D5CDD505-2E9C-101B-9397-08002B2CF9AE}" pid="148" name="FSC#COOELAK@1.1001:ProcessResponsible">
    <vt:lpwstr>Schäfers, Alexandra, StMUK</vt:lpwstr>
  </property>
  <property fmtid="{D5CDD505-2E9C-101B-9397-08002B2CF9AE}" pid="149" name="FSC#COOELAK@1.1001:ProcessResponsiblePhone">
    <vt:lpwstr>2460</vt:lpwstr>
  </property>
  <property fmtid="{D5CDD505-2E9C-101B-9397-08002B2CF9AE}" pid="150" name="FSC#COOELAK@1.1001:ProcessResponsibleMail">
    <vt:lpwstr>Alexandra.Schaefers@stmuk.bayern.de</vt:lpwstr>
  </property>
  <property fmtid="{D5CDD505-2E9C-101B-9397-08002B2CF9AE}" pid="151" name="FSC#COOELAK@1.1001:ProcessResponsibleFax">
    <vt:lpwstr/>
  </property>
  <property fmtid="{D5CDD505-2E9C-101B-9397-08002B2CF9AE}" pid="152" name="FSC#COOELAK@1.1001:ApproverFirstName">
    <vt:lpwstr>Roland</vt:lpwstr>
  </property>
  <property fmtid="{D5CDD505-2E9C-101B-9397-08002B2CF9AE}" pid="153" name="FSC#COOELAK@1.1001:ApproverSurName">
    <vt:lpwstr>Krügel</vt:lpwstr>
  </property>
  <property fmtid="{D5CDD505-2E9C-101B-9397-08002B2CF9AE}" pid="154" name="FSC#COOELAK@1.1001:ApproverTitle">
    <vt:lpwstr/>
  </property>
  <property fmtid="{D5CDD505-2E9C-101B-9397-08002B2CF9AE}" pid="155" name="FSC#COOELAK@1.1001:ExternalDate">
    <vt:lpwstr/>
  </property>
  <property fmtid="{D5CDD505-2E9C-101B-9397-08002B2CF9AE}" pid="156" name="FSC#COOELAK@1.1001:SettlementApprovedAt">
    <vt:lpwstr>10.01.2024</vt:lpwstr>
  </property>
  <property fmtid="{D5CDD505-2E9C-101B-9397-08002B2CF9AE}" pid="157" name="FSC#COOELAK@1.1001:BaseNumber">
    <vt:lpwstr>BP4005</vt:lpwstr>
  </property>
  <property fmtid="{D5CDD505-2E9C-101B-9397-08002B2CF9AE}" pid="158" name="FSC#COOELAK@1.1001:CurrentUserRolePos">
    <vt:lpwstr>Sachbearbeitung</vt:lpwstr>
  </property>
  <property fmtid="{D5CDD505-2E9C-101B-9397-08002B2CF9AE}" pid="159" name="FSC#COOELAK@1.1001:CurrentUserEmail">
    <vt:lpwstr>marlene.anderl@stmuk.bayern.de</vt:lpwstr>
  </property>
  <property fmtid="{D5CDD505-2E9C-101B-9397-08002B2CF9AE}" pid="160" name="FSC#ELAKGOV@1.1001:PersonalSubjGender">
    <vt:lpwstr/>
  </property>
  <property fmtid="{D5CDD505-2E9C-101B-9397-08002B2CF9AE}" pid="161" name="FSC#ELAKGOV@1.1001:PersonalSubjFirstName">
    <vt:lpwstr/>
  </property>
  <property fmtid="{D5CDD505-2E9C-101B-9397-08002B2CF9AE}" pid="162" name="FSC#ELAKGOV@1.1001:PersonalSubjSurName">
    <vt:lpwstr/>
  </property>
  <property fmtid="{D5CDD505-2E9C-101B-9397-08002B2CF9AE}" pid="163" name="FSC#ELAKGOV@1.1001:PersonalSubjSalutation">
    <vt:lpwstr/>
  </property>
  <property fmtid="{D5CDD505-2E9C-101B-9397-08002B2CF9AE}" pid="164" name="FSC#ELAKGOV@1.1001:PersonalSubjAddress">
    <vt:lpwstr/>
  </property>
  <property fmtid="{D5CDD505-2E9C-101B-9397-08002B2CF9AE}" pid="165" name="FSC#ATSTATECFG@1.1001:Office">
    <vt:lpwstr/>
  </property>
  <property fmtid="{D5CDD505-2E9C-101B-9397-08002B2CF9AE}" pid="166" name="FSC#ATSTATECFG@1.1001:Agent">
    <vt:lpwstr>Peter Wiedemann</vt:lpwstr>
  </property>
  <property fmtid="{D5CDD505-2E9C-101B-9397-08002B2CF9AE}" pid="167" name="FSC#ATSTATECFG@1.1001:AgentPhone">
    <vt:lpwstr>1952</vt:lpwstr>
  </property>
  <property fmtid="{D5CDD505-2E9C-101B-9397-08002B2CF9AE}" pid="168" name="FSC#ATSTATECFG@1.1001:DepartmentFax">
    <vt:lpwstr/>
  </property>
  <property fmtid="{D5CDD505-2E9C-101B-9397-08002B2CF9AE}" pid="169" name="FSC#ATSTATECFG@1.1001:DepartmentEmail">
    <vt:lpwstr/>
  </property>
  <property fmtid="{D5CDD505-2E9C-101B-9397-08002B2CF9AE}" pid="170" name="FSC#ATSTATECFG@1.1001:SubfileDate">
    <vt:lpwstr>08.01.2024</vt:lpwstr>
  </property>
  <property fmtid="{D5CDD505-2E9C-101B-9397-08002B2CF9AE}" pid="171" name="FSC#ATSTATECFG@1.1001:SubfileSubject">
    <vt:lpwstr>Reisekosten bei Schülerfahrten;_x000d_
Aktualisierung der Kalkulationshilfe 2024</vt:lpwstr>
  </property>
  <property fmtid="{D5CDD505-2E9C-101B-9397-08002B2CF9AE}" pid="172" name="FSC#ATSTATECFG@1.1001:DepartmentZipCode">
    <vt:lpwstr/>
  </property>
  <property fmtid="{D5CDD505-2E9C-101B-9397-08002B2CF9AE}" pid="173" name="FSC#ATSTATECFG@1.1001:DepartmentCountry">
    <vt:lpwstr/>
  </property>
  <property fmtid="{D5CDD505-2E9C-101B-9397-08002B2CF9AE}" pid="174" name="FSC#ATSTATECFG@1.1001:DepartmentCity">
    <vt:lpwstr/>
  </property>
  <property fmtid="{D5CDD505-2E9C-101B-9397-08002B2CF9AE}" pid="175" name="FSC#ATSTATECFG@1.1001:DepartmentStreet">
    <vt:lpwstr/>
  </property>
  <property fmtid="{D5CDD505-2E9C-101B-9397-08002B2CF9AE}" pid="176" name="FSC#CCAPRECONFIGG@15.1001:DepartmentON">
    <vt:lpwstr/>
  </property>
  <property fmtid="{D5CDD505-2E9C-101B-9397-08002B2CF9AE}" pid="177" name="FSC#CCAPRECONFIGG@15.1001:DepartmentWebsite">
    <vt:lpwstr/>
  </property>
  <property fmtid="{D5CDD505-2E9C-101B-9397-08002B2CF9AE}" pid="178" name="FSC#ATSTATECFG@1.1001:DepartmentDVR">
    <vt:lpwstr/>
  </property>
  <property fmtid="{D5CDD505-2E9C-101B-9397-08002B2CF9AE}" pid="179" name="FSC#ATSTATECFG@1.1001:DepartmentUID">
    <vt:lpwstr/>
  </property>
  <property fmtid="{D5CDD505-2E9C-101B-9397-08002B2CF9AE}" pid="180" name="FSC#ATSTATECFG@1.1001:SubfileReference">
    <vt:lpwstr>II.5-BP4005.0/4/8</vt:lpwstr>
  </property>
  <property fmtid="{D5CDD505-2E9C-101B-9397-08002B2CF9AE}" pid="181" name="FSC#ATSTATECFG@1.1001:Clause">
    <vt:lpwstr/>
  </property>
  <property fmtid="{D5CDD505-2E9C-101B-9397-08002B2CF9AE}" pid="182" name="FSC#ATSTATECFG@1.1001:ApprovedSignature">
    <vt:lpwstr>Christian Bruchhäuser</vt:lpwstr>
  </property>
  <property fmtid="{D5CDD505-2E9C-101B-9397-08002B2CF9AE}" pid="183" name="FSC#ATSTATECFG@1.1001:BankAccount">
    <vt:lpwstr/>
  </property>
  <property fmtid="{D5CDD505-2E9C-101B-9397-08002B2CF9AE}" pid="184" name="FSC#ATSTATECFG@1.1001:BankAccountOwner">
    <vt:lpwstr/>
  </property>
  <property fmtid="{D5CDD505-2E9C-101B-9397-08002B2CF9AE}" pid="185" name="FSC#ATSTATECFG@1.1001:BankInstitute">
    <vt:lpwstr/>
  </property>
  <property fmtid="{D5CDD505-2E9C-101B-9397-08002B2CF9AE}" pid="186" name="FSC#ATSTATECFG@1.1001:BankAccountID">
    <vt:lpwstr/>
  </property>
  <property fmtid="{D5CDD505-2E9C-101B-9397-08002B2CF9AE}" pid="187" name="FSC#ATSTATECFG@1.1001:BankAccountIBAN">
    <vt:lpwstr/>
  </property>
  <property fmtid="{D5CDD505-2E9C-101B-9397-08002B2CF9AE}" pid="188" name="FSC#ATSTATECFG@1.1001:BankAccountBIC">
    <vt:lpwstr/>
  </property>
  <property fmtid="{D5CDD505-2E9C-101B-9397-08002B2CF9AE}" pid="189" name="FSC#ATSTATECFG@1.1001:BankName">
    <vt:lpwstr/>
  </property>
  <property fmtid="{D5CDD505-2E9C-101B-9397-08002B2CF9AE}" pid="190" name="FSC#COOELAK@1.1001:ObjectAddressees">
    <vt:lpwstr>Alle staatlichen Schulen in Bayern (per OWA), _x000d_
Alle Schulämter (per OWA), _x000d_
Sachgebiete 43 der Regierungen (per OWA), _x000d_
Ministerialbeauftragten für die Gymnasien in Bayern (per OWA), _x000d_
Ministerialbeauftragten für die Realschulen in Bayern (per OWA), _x000d_
Mi</vt:lpwstr>
  </property>
  <property fmtid="{D5CDD505-2E9C-101B-9397-08002B2CF9AE}" pid="191" name="FSC#COOELAK@1.1001:replyreference">
    <vt:lpwstr/>
  </property>
  <property fmtid="{D5CDD505-2E9C-101B-9397-08002B2CF9AE}" pid="192" name="FSC#COOELAK@1.1001:OfficeHours">
    <vt:lpwstr/>
  </property>
  <property fmtid="{D5CDD505-2E9C-101B-9397-08002B2CF9AE}" pid="193" name="FSC#COOELAK@1.1001:FileRefOULong">
    <vt:lpwstr>Registraturleitung (StMUK)</vt:lpwstr>
  </property>
  <property fmtid="{D5CDD505-2E9C-101B-9397-08002B2CF9AE}" pid="194" name="FSC#FSCGOVDE@1.1001:FileRefOUEmail">
    <vt:lpwstr/>
  </property>
  <property fmtid="{D5CDD505-2E9C-101B-9397-08002B2CF9AE}" pid="195" name="FSC#FSCGOVDE@1.1001:ProcedureReference">
    <vt:lpwstr>BP4005.0/4</vt:lpwstr>
  </property>
  <property fmtid="{D5CDD505-2E9C-101B-9397-08002B2CF9AE}" pid="196" name="FSC#FSCGOVDE@1.1001:FileSubject">
    <vt:lpwstr>Reisekosten/Tagegelder der Lehrkräfte</vt:lpwstr>
  </property>
  <property fmtid="{D5CDD505-2E9C-101B-9397-08002B2CF9AE}" pid="197" name="FSC#FSCGOVDE@1.1001:ProcedureSubject">
    <vt:lpwstr>Kalkulationshilfe für Reisekosten bei Schülerfahrten 2019</vt:lpwstr>
  </property>
  <property fmtid="{D5CDD505-2E9C-101B-9397-08002B2CF9AE}" pid="198" name="FSC#FSCGOVDE@1.1001:SignFinalVersionBy">
    <vt:lpwstr>Roland Krügel_x000d_
Leitender Ministerialrat</vt:lpwstr>
  </property>
  <property fmtid="{D5CDD505-2E9C-101B-9397-08002B2CF9AE}" pid="199" name="FSC#FSCGOVDE@1.1001:SignFinalVersionAt">
    <vt:lpwstr>10.01.2024</vt:lpwstr>
  </property>
  <property fmtid="{D5CDD505-2E9C-101B-9397-08002B2CF9AE}" pid="200" name="FSC#FSCGOVDE@1.1001:ProcedureRefBarCode">
    <vt:lpwstr>*BP4005.0/4*</vt:lpwstr>
  </property>
  <property fmtid="{D5CDD505-2E9C-101B-9397-08002B2CF9AE}" pid="201" name="FSC#FSCGOVDE@1.1001:FileAddSubj">
    <vt:lpwstr/>
  </property>
  <property fmtid="{D5CDD505-2E9C-101B-9397-08002B2CF9AE}" pid="202" name="FSC#FSCGOVDE@1.1001:DocumentSubj">
    <vt:lpwstr>WG: Kalkulationshilfe für Reisekosten bei Schülerfahrten</vt:lpwstr>
  </property>
  <property fmtid="{D5CDD505-2E9C-101B-9397-08002B2CF9AE}" pid="203" name="FSC#FSCGOVDE@1.1001:FileRel">
    <vt:lpwstr/>
  </property>
  <property fmtid="{D5CDD505-2E9C-101B-9397-08002B2CF9AE}" pid="204" name="FSC#DEPRECONFIG@15.1001:DocumentTitle">
    <vt:lpwstr/>
  </property>
  <property fmtid="{D5CDD505-2E9C-101B-9397-08002B2CF9AE}" pid="205" name="FSC#DEPRECONFIG@15.1001:ProcedureTitle">
    <vt:lpwstr>Kalkulationshilfe für Reisekosten bei Schülerfahrten 2019</vt:lpwstr>
  </property>
  <property fmtid="{D5CDD505-2E9C-101B-9397-08002B2CF9AE}" pid="206" name="FSC#DEPRECONFIG@15.1001:AuthorTitle">
    <vt:lpwstr/>
  </property>
  <property fmtid="{D5CDD505-2E9C-101B-9397-08002B2CF9AE}" pid="207" name="FSC#DEPRECONFIG@15.1001:AuthorSalution">
    <vt:lpwstr>Herr</vt:lpwstr>
  </property>
  <property fmtid="{D5CDD505-2E9C-101B-9397-08002B2CF9AE}" pid="208" name="FSC#DEPRECONFIG@15.1001:AuthorName">
    <vt:lpwstr>Peter Wiedemann</vt:lpwstr>
  </property>
  <property fmtid="{D5CDD505-2E9C-101B-9397-08002B2CF9AE}" pid="209" name="FSC#DEPRECONFIG@15.1001:AuthorMail">
    <vt:lpwstr>peter.wiedemann@stmuk.bayern.de</vt:lpwstr>
  </property>
  <property fmtid="{D5CDD505-2E9C-101B-9397-08002B2CF9AE}" pid="210" name="FSC#DEPRECONFIG@15.1001:AuthorTelephone">
    <vt:lpwstr>1952</vt:lpwstr>
  </property>
  <property fmtid="{D5CDD505-2E9C-101B-9397-08002B2CF9AE}" pid="211" name="FSC#DEPRECONFIG@15.1001:AuthorFax">
    <vt:lpwstr/>
  </property>
  <property fmtid="{D5CDD505-2E9C-101B-9397-08002B2CF9AE}" pid="212" name="FSC#DEPRECONFIG@15.1001:AuthorOE">
    <vt:lpwstr>II.5 (Referat II.5 (StMUK))</vt:lpwstr>
  </property>
  <property fmtid="{D5CDD505-2E9C-101B-9397-08002B2CF9AE}" pid="213" name="FSC#COOSYSTEM@1.1:Container">
    <vt:lpwstr>COO.4001.106.5.13873689</vt:lpwstr>
  </property>
  <property fmtid="{D5CDD505-2E9C-101B-9397-08002B2CF9AE}" pid="214" name="FSC#FSCFOLIO@1.1001:docpropproject">
    <vt:lpwstr/>
  </property>
  <property fmtid="{D5CDD505-2E9C-101B-9397-08002B2CF9AE}" pid="215" name="FSC$NOPARSEFILE">
    <vt:bool>true</vt:bool>
  </property>
</Properties>
</file>